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Everyone\Cam Sharpe\Meetings\HMT 11-16-16\"/>
    </mc:Choice>
  </mc:AlternateContent>
  <bookViews>
    <workbookView xWindow="480" yWindow="315" windowWidth="18195" windowHeight="11580" tabRatio="931"/>
  </bookViews>
  <sheets>
    <sheet name="2016 Redd &amp; Spawner Abundance" sheetId="3" r:id="rId1"/>
    <sheet name="pHOS" sheetId="6" r:id="rId2"/>
    <sheet name="2016 PSM" sheetId="8" r:id="rId3"/>
    <sheet name="2015 Outplants" sheetId="7" r:id="rId4"/>
    <sheet name="2016 Bennett Video" sheetId="15" r:id="rId5"/>
    <sheet name="2016 Leaburg Video" sheetId="16" r:id="rId6"/>
    <sheet name="Metadata" sheetId="18" r:id="rId7"/>
  </sheets>
  <definedNames>
    <definedName name="Format">Metadata!$A$44:$A$47</definedName>
    <definedName name="Projections">Metadata!#REF!</definedName>
    <definedName name="Reference">Metadata!$A$37:$A$41</definedName>
  </definedNames>
  <calcPr calcId="152511"/>
</workbook>
</file>

<file path=xl/calcChain.xml><?xml version="1.0" encoding="utf-8"?>
<calcChain xmlns="http://schemas.openxmlformats.org/spreadsheetml/2006/main">
  <c r="J18" i="7" l="1"/>
  <c r="G20" i="3" l="1"/>
  <c r="G15" i="3"/>
  <c r="G10" i="3"/>
  <c r="G6" i="3"/>
  <c r="G15" i="16" l="1"/>
  <c r="G14" i="16"/>
  <c r="G13" i="16"/>
  <c r="G12" i="16"/>
  <c r="G11" i="16"/>
  <c r="G10" i="16"/>
  <c r="G9" i="16"/>
  <c r="G8" i="16"/>
  <c r="G7" i="16"/>
  <c r="G6" i="16"/>
  <c r="K18" i="16" l="1"/>
  <c r="J18" i="16"/>
  <c r="I18" i="16"/>
  <c r="H18" i="16"/>
  <c r="G18" i="16"/>
  <c r="F18" i="16"/>
  <c r="E18" i="16"/>
  <c r="D18" i="16"/>
  <c r="C18" i="16"/>
  <c r="B18" i="16"/>
  <c r="J20" i="7"/>
  <c r="J19" i="7"/>
  <c r="J16" i="7"/>
  <c r="J15" i="7"/>
  <c r="J12" i="7"/>
  <c r="J9" i="7"/>
  <c r="J8" i="7"/>
  <c r="J7" i="7"/>
  <c r="J6" i="7"/>
  <c r="C26" i="8"/>
  <c r="B26" i="8"/>
  <c r="D23" i="8"/>
  <c r="F23" i="8" s="1"/>
  <c r="E21" i="8"/>
  <c r="D21" i="8"/>
  <c r="F21" i="8" s="1"/>
  <c r="C18" i="8"/>
  <c r="B18" i="8"/>
  <c r="D17" i="8"/>
  <c r="F17" i="8" s="1"/>
  <c r="D16" i="8"/>
  <c r="F16" i="8" s="1"/>
  <c r="D15" i="8"/>
  <c r="E15" i="8" s="1"/>
  <c r="C12" i="8"/>
  <c r="B12" i="8"/>
  <c r="D11" i="8"/>
  <c r="E11" i="8" s="1"/>
  <c r="D10" i="8"/>
  <c r="E10" i="8" s="1"/>
  <c r="C7" i="8"/>
  <c r="B7" i="8"/>
  <c r="D6" i="8"/>
  <c r="F6" i="8" s="1"/>
  <c r="D5" i="8"/>
  <c r="F5" i="8" s="1"/>
  <c r="G25" i="6"/>
  <c r="F25" i="6"/>
  <c r="H25" i="6" s="1"/>
  <c r="G24" i="6"/>
  <c r="F24" i="6"/>
  <c r="B24" i="6"/>
  <c r="G23" i="6"/>
  <c r="B23" i="6"/>
  <c r="G18" i="6"/>
  <c r="F18" i="6"/>
  <c r="B18" i="6"/>
  <c r="G17" i="6"/>
  <c r="F17" i="6" s="1"/>
  <c r="B17" i="6"/>
  <c r="J16" i="6"/>
  <c r="I16" i="6"/>
  <c r="H16" i="6"/>
  <c r="G16" i="6"/>
  <c r="F16" i="6"/>
  <c r="B16" i="6"/>
  <c r="J12" i="6"/>
  <c r="I12" i="6"/>
  <c r="H12" i="6"/>
  <c r="G12" i="6"/>
  <c r="F12" i="6"/>
  <c r="B12" i="6"/>
  <c r="H13" i="6" s="1"/>
  <c r="J11" i="6"/>
  <c r="I11" i="6"/>
  <c r="H11" i="6"/>
  <c r="G11" i="6"/>
  <c r="F11" i="6"/>
  <c r="B11" i="6"/>
  <c r="J7" i="6"/>
  <c r="I7" i="6"/>
  <c r="H7" i="6"/>
  <c r="G7" i="6"/>
  <c r="F7" i="6"/>
  <c r="B7" i="6"/>
  <c r="I6" i="6"/>
  <c r="H6" i="6"/>
  <c r="G6" i="6"/>
  <c r="F6" i="6"/>
  <c r="B6" i="6"/>
  <c r="H8" i="6" s="1"/>
  <c r="S57" i="3"/>
  <c r="J57" i="3"/>
  <c r="M53" i="3"/>
  <c r="J41" i="3"/>
  <c r="S28" i="3"/>
  <c r="S59" i="3" s="1"/>
  <c r="M28" i="3"/>
  <c r="P26" i="3"/>
  <c r="M21" i="3"/>
  <c r="C20" i="3"/>
  <c r="D19" i="3"/>
  <c r="C19" i="3"/>
  <c r="F19" i="3" s="1"/>
  <c r="C18" i="3"/>
  <c r="J17" i="3"/>
  <c r="S15" i="3"/>
  <c r="C15" i="3"/>
  <c r="C14" i="3"/>
  <c r="S13" i="3"/>
  <c r="D13" i="3"/>
  <c r="C13" i="3"/>
  <c r="E13" i="3" s="1"/>
  <c r="P11" i="3"/>
  <c r="P29" i="3" s="1"/>
  <c r="M11" i="3"/>
  <c r="M30" i="3" s="1"/>
  <c r="M56" i="3" s="1"/>
  <c r="J11" i="3"/>
  <c r="J33" i="3" s="1"/>
  <c r="J34" i="3" s="1"/>
  <c r="J43" i="3" s="1"/>
  <c r="J60" i="3" s="1"/>
  <c r="D10" i="3"/>
  <c r="C10" i="3"/>
  <c r="D9" i="3"/>
  <c r="F9" i="3" s="1"/>
  <c r="C9" i="3"/>
  <c r="C6" i="3"/>
  <c r="E6" i="3" s="1"/>
  <c r="D5" i="3"/>
  <c r="C5" i="3"/>
  <c r="F5" i="3" s="1"/>
  <c r="E10" i="3" l="1"/>
  <c r="E9" i="3"/>
  <c r="E5" i="3"/>
  <c r="F13" i="3"/>
  <c r="F6" i="3"/>
  <c r="F10" i="3"/>
  <c r="E19" i="3"/>
  <c r="F11" i="8"/>
  <c r="D12" i="8"/>
  <c r="F12" i="8" s="1"/>
  <c r="F10" i="8"/>
  <c r="E5" i="8"/>
  <c r="D7" i="8"/>
  <c r="F7" i="8" s="1"/>
  <c r="D26" i="8"/>
  <c r="F26" i="8" s="1"/>
  <c r="E23" i="8"/>
  <c r="E6" i="8"/>
  <c r="E17" i="8"/>
  <c r="E16" i="8"/>
  <c r="D18" i="8"/>
  <c r="F18" i="8" s="1"/>
  <c r="F15" i="8"/>
  <c r="F23" i="6"/>
  <c r="H23" i="6" s="1"/>
  <c r="I25" i="6"/>
  <c r="D20" i="3"/>
  <c r="H18" i="6"/>
  <c r="D15" i="3" s="1"/>
  <c r="H17" i="6"/>
  <c r="D14" i="3" s="1"/>
  <c r="E12" i="8" l="1"/>
  <c r="E7" i="8"/>
  <c r="E26" i="8"/>
  <c r="E18" i="8"/>
  <c r="I23" i="6"/>
  <c r="J23" i="6" s="1"/>
  <c r="D18" i="3"/>
  <c r="F20" i="3"/>
  <c r="E20" i="3"/>
  <c r="I18" i="6"/>
  <c r="J18" i="6" s="1"/>
  <c r="F15" i="3"/>
  <c r="E15" i="3"/>
  <c r="H20" i="6"/>
  <c r="I17" i="6"/>
  <c r="J17" i="6" s="1"/>
  <c r="H19" i="6"/>
  <c r="F14" i="3"/>
  <c r="E14" i="3"/>
  <c r="F18" i="3" l="1"/>
  <c r="E18" i="3"/>
  <c r="D21" i="3"/>
  <c r="D22" i="3"/>
</calcChain>
</file>

<file path=xl/comments1.xml><?xml version="1.0" encoding="utf-8"?>
<comments xmlns="http://schemas.openxmlformats.org/spreadsheetml/2006/main">
  <authors>
    <author>woodm</author>
  </authors>
  <commentList>
    <comment ref="D19" authorId="0" shapeId="0">
      <text>
        <r>
          <rPr>
            <b/>
            <sz val="8"/>
            <color indexed="81"/>
            <rFont val="Tahoma"/>
            <family val="2"/>
          </rPr>
          <t xml:space="preserve">For Garmin units, record the average EPE number for the points or the accuracy listed in the unit manual.  For all other units, record the accuracy listed in the unit manual. </t>
        </r>
        <r>
          <rPr>
            <sz val="8"/>
            <color indexed="81"/>
            <rFont val="Tahoma"/>
            <family val="2"/>
          </rPr>
          <t xml:space="preserve">
</t>
        </r>
      </text>
    </comment>
    <comment ref="D20" authorId="0" shapeId="0">
      <text>
        <r>
          <rPr>
            <b/>
            <sz val="8"/>
            <color indexed="81"/>
            <rFont val="Tahoma"/>
            <family val="2"/>
          </rPr>
          <t xml:space="preserve">Does not apply to Garmin units.  For other units, the DOP refers to the signal quality for the fixed location on a GPS unit, this number can be averaged for all locations or a range can be provided: </t>
        </r>
        <r>
          <rPr>
            <sz val="8"/>
            <color indexed="81"/>
            <rFont val="Tahoma"/>
            <family val="2"/>
          </rPr>
          <t xml:space="preserve">
</t>
        </r>
        <r>
          <rPr>
            <b/>
            <sz val="8"/>
            <color indexed="81"/>
            <rFont val="Tahoma"/>
            <family val="2"/>
          </rPr>
          <t xml:space="preserve">&lt;1      = Ideal
1-2     = Excellent
2-5     = Good
5-10   = Moderate
10-20 = Fair
&gt;20    = Poor  </t>
        </r>
      </text>
    </comment>
    <comment ref="D21" authorId="0" shapeId="0">
      <text>
        <r>
          <rPr>
            <b/>
            <sz val="8"/>
            <color indexed="81"/>
            <rFont val="Tahoma"/>
            <family val="2"/>
          </rPr>
          <t>Does not apply to data collected with GPS units.  This only applies to data created in a GIS from base imagery or maps.</t>
        </r>
      </text>
    </comment>
  </commentList>
</comments>
</file>

<file path=xl/sharedStrings.xml><?xml version="1.0" encoding="utf-8"?>
<sst xmlns="http://schemas.openxmlformats.org/spreadsheetml/2006/main" count="477" uniqueCount="355">
  <si>
    <t>McKenzie</t>
  </si>
  <si>
    <t>South Fork McKenzie Above Cougar</t>
  </si>
  <si>
    <t>Total</t>
  </si>
  <si>
    <t>Fall Creek</t>
  </si>
  <si>
    <t>Little Fall Creek</t>
  </si>
  <si>
    <t>North Fork Middle Fork</t>
  </si>
  <si>
    <t>North Santiam</t>
  </si>
  <si>
    <t>North Santiam Above Detroit</t>
  </si>
  <si>
    <t>Little North Santiam</t>
  </si>
  <si>
    <t>South Santiam</t>
  </si>
  <si>
    <t>South Santiam Above Foster</t>
  </si>
  <si>
    <t>Peak Redd Count</t>
  </si>
  <si>
    <t>Above Detroit Reservoir</t>
  </si>
  <si>
    <t>Above Foster Dam</t>
  </si>
  <si>
    <t>Below Leaburg Dam</t>
  </si>
  <si>
    <t>S Fork McKenzie Above Cougar</t>
  </si>
  <si>
    <t>Middle Fork Willamette</t>
  </si>
  <si>
    <t>Below Dexter</t>
  </si>
  <si>
    <t>Above Hills Creek Reservoir</t>
  </si>
  <si>
    <t>Spawner Abundance Estimate (redds*2.5)</t>
  </si>
  <si>
    <t>Clipped</t>
  </si>
  <si>
    <t>Unclipped</t>
  </si>
  <si>
    <t>Jacks</t>
  </si>
  <si>
    <t>Wild Estimate</t>
  </si>
  <si>
    <t>Hatchery Estimate</t>
  </si>
  <si>
    <t>PHOS</t>
  </si>
  <si>
    <t>Unspawned Females</t>
  </si>
  <si>
    <t>PSM</t>
  </si>
  <si>
    <t>PSM Lower 95% CI</t>
  </si>
  <si>
    <t>PSM Upper 95% CI</t>
  </si>
  <si>
    <t>--</t>
  </si>
  <si>
    <t>PHOS Lower 95% CI</t>
  </si>
  <si>
    <t>PHOS Upper 95% CI</t>
  </si>
  <si>
    <t>Subbasin</t>
  </si>
  <si>
    <t>North Fork Middle Fork Willamette</t>
  </si>
  <si>
    <t>South Fork McKenzie</t>
  </si>
  <si>
    <t>Gordon Road</t>
  </si>
  <si>
    <t>Riverbend</t>
  </si>
  <si>
    <t>Release Site Name</t>
  </si>
  <si>
    <t>Males</t>
  </si>
  <si>
    <t>Females</t>
  </si>
  <si>
    <t># Chinook Salmon Outplanted</t>
  </si>
  <si>
    <t>North Santiam Total</t>
  </si>
  <si>
    <t>McKenzie Total</t>
  </si>
  <si>
    <t>Hatchery-origin Abundance Estimate</t>
  </si>
  <si>
    <t>Natural-origin Abundance Estimate</t>
  </si>
  <si>
    <t>Subbasin, section</t>
  </si>
  <si>
    <t>Weighted Basin-wide pHOS</t>
  </si>
  <si>
    <t>TOTAL</t>
  </si>
  <si>
    <t>Hard Rock (from Cougar Dam trap)</t>
  </si>
  <si>
    <t>Month</t>
  </si>
  <si>
    <t>Lamprey</t>
  </si>
  <si>
    <t>February</t>
  </si>
  <si>
    <t>March</t>
  </si>
  <si>
    <t>April</t>
  </si>
  <si>
    <t>May</t>
  </si>
  <si>
    <t>June</t>
  </si>
  <si>
    <t>July</t>
  </si>
  <si>
    <t>September</t>
  </si>
  <si>
    <t>October</t>
  </si>
  <si>
    <t>November</t>
  </si>
  <si>
    <t>Unclipped ("Wild") Chinook Adults</t>
  </si>
  <si>
    <t>Unclipped ("Wild") Chinook Jacks</t>
  </si>
  <si>
    <t>Ad-clipped Chinook Adults</t>
  </si>
  <si>
    <t>Ad-clipped Chinook Jacks</t>
  </si>
  <si>
    <t>Ad-clipped Chinook Adults Removed</t>
  </si>
  <si>
    <t>Net Ad-clipped Chinook Adults Upstream</t>
  </si>
  <si>
    <t>Unclipped ("Wild") Steelhead</t>
  </si>
  <si>
    <t>Ad-clipped Steelhead</t>
  </si>
  <si>
    <t>Bull Trout</t>
  </si>
  <si>
    <t>January</t>
  </si>
  <si>
    <t>August</t>
  </si>
  <si>
    <t>December</t>
  </si>
  <si>
    <t>Above Leaburg Dam</t>
  </si>
  <si>
    <t>Below Foster Dam</t>
  </si>
  <si>
    <t>Below Detroit Reservoir</t>
  </si>
  <si>
    <t>Above Leaburg</t>
  </si>
  <si>
    <t>Total Females</t>
  </si>
  <si>
    <t>Total 2015</t>
  </si>
  <si>
    <t xml:space="preserve">StS </t>
  </si>
  <si>
    <t>StW</t>
  </si>
  <si>
    <t>St Total</t>
  </si>
  <si>
    <t>ChS Ad</t>
  </si>
  <si>
    <t>ChS Nm</t>
  </si>
  <si>
    <t>ChS Jack</t>
  </si>
  <si>
    <t>ChS Total</t>
  </si>
  <si>
    <t xml:space="preserve">Coho </t>
  </si>
  <si>
    <t>Coho Jacks</t>
  </si>
  <si>
    <t>TOTALS</t>
  </si>
  <si>
    <t>Above Minto</t>
  </si>
  <si>
    <t>Horn Dr</t>
  </si>
  <si>
    <t>Dry Creek</t>
  </si>
  <si>
    <t>Breitenbush</t>
  </si>
  <si>
    <t>Above Hills Cr Reservoir</t>
  </si>
  <si>
    <t>Net movement of fish counted moving upstream on video at Leaburg Dam or removed at the dam (clipped fish only) on the McKenzie River in 2015</t>
  </si>
  <si>
    <t>Calkins Park</t>
  </si>
  <si>
    <t>Horse Creek</t>
  </si>
  <si>
    <t>Lost Creek</t>
  </si>
  <si>
    <t>Middle Fork</t>
  </si>
  <si>
    <t>Weighted Basin-wide pHOS w/o abv Cougar</t>
  </si>
  <si>
    <t>MCKENZIE</t>
  </si>
  <si>
    <t>Peak Count</t>
  </si>
  <si>
    <t>NORTH SANTIAM</t>
  </si>
  <si>
    <t>SOUTH SANTIAM</t>
  </si>
  <si>
    <t>MIDDLE FORK WILLAMETTE</t>
  </si>
  <si>
    <t>Pothole Creek to Trail Bridge</t>
  </si>
  <si>
    <t>Elkhorn Bridge to Salmon Falls</t>
  </si>
  <si>
    <t>Foster to Pleasant Valley</t>
  </si>
  <si>
    <t>Trib below NFD 400 to NFD 1806 Bridge</t>
  </si>
  <si>
    <t>Trail Bridge to Separation Creek</t>
  </si>
  <si>
    <t>Salmon Falls to Camp Cascade</t>
  </si>
  <si>
    <t>Pleasant Valley to McDowell Creek Rd</t>
  </si>
  <si>
    <t>NFD 1806 Bridge to NFD 1818 Bridge</t>
  </si>
  <si>
    <t>Separation Creek to Road Access</t>
  </si>
  <si>
    <t>Camp Cascade to Narrows</t>
  </si>
  <si>
    <t>McDowell Creek Rd to Waterloo</t>
  </si>
  <si>
    <t>NFD 1818 Bridge to Fish Ladder</t>
  </si>
  <si>
    <t>Road Access to Braids</t>
  </si>
  <si>
    <t>Narrows to Golf Bridge</t>
  </si>
  <si>
    <t>Waterloo to Lebanon Dam</t>
  </si>
  <si>
    <t>−−</t>
  </si>
  <si>
    <t>Fish Ladder to MP 17</t>
  </si>
  <si>
    <t>Braids to Avenue Creek</t>
  </si>
  <si>
    <t>Golf Bridge to Bear Creek Bridge</t>
  </si>
  <si>
    <t>Lebanon Dam to Gill's Landing</t>
  </si>
  <si>
    <t>MP 17 to Norton Creek</t>
  </si>
  <si>
    <t>Avenue Creek to Bridge</t>
  </si>
  <si>
    <t>Bear Creek Bridge to Lunkers Bridge</t>
  </si>
  <si>
    <t>Gill's Landing to Sanderson's</t>
  </si>
  <si>
    <t>Bridge to Mouth</t>
  </si>
  <si>
    <t>Lunkers to mouth</t>
  </si>
  <si>
    <t>Sanderson's to mouth</t>
  </si>
  <si>
    <t>TOTAL S. SANTIAM(w/o above dam)</t>
  </si>
  <si>
    <t>Dexter to Pengra</t>
  </si>
  <si>
    <t>Pengra to Jasper</t>
  </si>
  <si>
    <t>Cascade to Campground</t>
  </si>
  <si>
    <t>Big Cliff to Minto Dam</t>
  </si>
  <si>
    <t>Campground to Split Pt</t>
  </si>
  <si>
    <t>Minto Dam to Packsaddle</t>
  </si>
  <si>
    <t>Falls to Soda Fork</t>
  </si>
  <si>
    <t>Split Pt to Hwy Bridge</t>
  </si>
  <si>
    <t>Packsaddle to Gate's Bridge</t>
  </si>
  <si>
    <t>Soda Fork to Little Boulder Cr</t>
  </si>
  <si>
    <t>TOTAL M FK WILLAMETTE (W/O FALL CR)</t>
  </si>
  <si>
    <t>Hwy Bridge to Mouth</t>
  </si>
  <si>
    <t>Gate's Bridge to Mill City</t>
  </si>
  <si>
    <t>Little Boulder Cr to Trout Cr C.G.</t>
  </si>
  <si>
    <t>Mill City to Fisherman's Bend</t>
  </si>
  <si>
    <t>Trout Cr C.G. to 2nd Trib</t>
  </si>
  <si>
    <t>Fisherman's Bend to Mehama</t>
  </si>
  <si>
    <t>2nd Trib to Gordon Cr Rd</t>
  </si>
  <si>
    <t>Falls to Gold Creek</t>
  </si>
  <si>
    <t>Spawning Channel</t>
  </si>
  <si>
    <t>Mehama to Powerlines</t>
  </si>
  <si>
    <t>Gordon Cr Rd to Moose Cr Bridge</t>
  </si>
  <si>
    <t>Gold Creek to NFD 1833 Bridge</t>
  </si>
  <si>
    <t>Olallie C.G. to Belknap</t>
  </si>
  <si>
    <t>Powerlines to Upper Bennett</t>
  </si>
  <si>
    <t>Moose Creek to Cascadia</t>
  </si>
  <si>
    <t>NFD 1833 Bridge to Hehe Creek</t>
  </si>
  <si>
    <t>Belknap to Paradise</t>
  </si>
  <si>
    <t xml:space="preserve">Cascadia to High Deck </t>
  </si>
  <si>
    <t>Hehe Creek to NFD 1828 Bridge</t>
  </si>
  <si>
    <t>Paradise to McKenzie Trail</t>
  </si>
  <si>
    <t>High Deck to Shot Pouch</t>
  </si>
  <si>
    <t>NFD 1828 Bridge to Portland Creek</t>
  </si>
  <si>
    <t>McKenzie Trail to McKenzie Bridge</t>
  </si>
  <si>
    <t>Upper Bennet to Stayton (North)</t>
  </si>
  <si>
    <t>Shot Pouch to Riverbend Park</t>
  </si>
  <si>
    <t>Portland Creek to Bedrock campground</t>
  </si>
  <si>
    <t>McKenzie Bridge to Hamlin</t>
  </si>
  <si>
    <t>Upper Bennett to Stayton (South)</t>
  </si>
  <si>
    <t>Riverbend Park to Reservoir</t>
  </si>
  <si>
    <t>Bedrock campground to Johnny Creek Bridge</t>
  </si>
  <si>
    <t>Hamlin to S.F. McKenzie</t>
  </si>
  <si>
    <t>Stayton to Shelburn</t>
  </si>
  <si>
    <t>Johnny Creek Bridge to Big Pool campground</t>
  </si>
  <si>
    <t>S.F. McKenzie to Forest Glen</t>
  </si>
  <si>
    <t>Shelburn to Green's Bridge</t>
  </si>
  <si>
    <t>S. Santiam Above Dam Total</t>
  </si>
  <si>
    <t>Big Pool Campground to release site</t>
  </si>
  <si>
    <t>Forest Glen to Rosboro Bridge</t>
  </si>
  <si>
    <t>Green's Bridge to Mouth</t>
  </si>
  <si>
    <t>Dam to Mouth</t>
  </si>
  <si>
    <t>Rosboro Bridge to Ben &amp; Kay</t>
  </si>
  <si>
    <t>Helfrich to Leaburg Lake</t>
  </si>
  <si>
    <t>total S Santiam</t>
  </si>
  <si>
    <t>NF MF Willamette</t>
  </si>
  <si>
    <t>Cougar Dam to Bridge</t>
  </si>
  <si>
    <t>TOTAL N SANT (w/o above dam)</t>
  </si>
  <si>
    <t>North Fork Trail #3666 trailhead to Minute Creek</t>
  </si>
  <si>
    <t>Minute Creek to Constitution Grove</t>
  </si>
  <si>
    <t>Constitution Grove to NFD 1944 bridge</t>
  </si>
  <si>
    <t>MCKENZIE ABV LEABURG (W/O SF below Cougar))</t>
  </si>
  <si>
    <t>NFD 1944 Bridge to Kiahanie Bridge</t>
  </si>
  <si>
    <t>MCKENZIE ABV LEABURG (W SF below Cougar)</t>
  </si>
  <si>
    <t>Parish Lake Road to Straight Cr</t>
  </si>
  <si>
    <t>Kiahanie Bridge to Release Site</t>
  </si>
  <si>
    <t xml:space="preserve">Straight Cr to Bugaboo </t>
  </si>
  <si>
    <t>Release site to NFD 1926</t>
  </si>
  <si>
    <t>Leaburg Dam to Leaburg Landing</t>
  </si>
  <si>
    <t>Bugaboo to Horn Cr</t>
  </si>
  <si>
    <t>Cogswell Creek</t>
  </si>
  <si>
    <t>Horn Cr</t>
  </si>
  <si>
    <t>MF Willamette Above Hills Cr. Dam</t>
  </si>
  <si>
    <t>Leaburg Landing to Dearhorn</t>
  </si>
  <si>
    <t>Marion Cr</t>
  </si>
  <si>
    <t>Big Swamp to Paddy's Valley Br</t>
  </si>
  <si>
    <t>Deerhorn to Hendricks</t>
  </si>
  <si>
    <t>Horn Cr to Minto Cr</t>
  </si>
  <si>
    <t>Paddy's Valley to Beaver Cr.</t>
  </si>
  <si>
    <t>Hendricks to Bellinger</t>
  </si>
  <si>
    <t>Minto Cr to Pamelia Cr</t>
  </si>
  <si>
    <t>Beaver Cr to Chuckle Springs</t>
  </si>
  <si>
    <t>Below Leaburg Total</t>
  </si>
  <si>
    <t>Misery Cr to Cooper's Ridge</t>
  </si>
  <si>
    <t>Chuckle Springs to Found Creek</t>
  </si>
  <si>
    <t>Coopers Ridge Rd to Idanha Bridge</t>
  </si>
  <si>
    <t>Found Creek to Echo Bridge</t>
  </si>
  <si>
    <t>McKenzie Total (w/o above dam)</t>
  </si>
  <si>
    <t>Idanha Bridge to Reservoir</t>
  </si>
  <si>
    <t>Echo Bridge to Young's Cr.</t>
  </si>
  <si>
    <t>Hoover to Mongold</t>
  </si>
  <si>
    <t>Young's Cr. to Reservoir</t>
  </si>
  <si>
    <t>SF Breitenbush</t>
  </si>
  <si>
    <t>NF Breitenbush</t>
  </si>
  <si>
    <t>S FK McKenzie Above Cougar Dam</t>
  </si>
  <si>
    <t>S Fk Breitenbush to Hill Cr</t>
  </si>
  <si>
    <t>Above Hills Cr. Dam Total</t>
  </si>
  <si>
    <t>above Elk Creek</t>
  </si>
  <si>
    <t>Hill Cr to Scorpion Cr</t>
  </si>
  <si>
    <t>Elk Cr. To Roaring River</t>
  </si>
  <si>
    <t>Scorpion Cr to Fox Cr</t>
  </si>
  <si>
    <t>Coast Fork Willamette</t>
  </si>
  <si>
    <t>Roaring River to Twin Springs C.G.</t>
  </si>
  <si>
    <t>Fox Cr to Humbug Cr</t>
  </si>
  <si>
    <t>Cloverdale road to Mount Pisgah</t>
  </si>
  <si>
    <t>Twin Springs C.G. to Homestead</t>
  </si>
  <si>
    <t>Humbug Cr to Byars Cr</t>
  </si>
  <si>
    <t>Lynx Hollow Park to Cloverdale road</t>
  </si>
  <si>
    <t xml:space="preserve">Homestead to Dutch Oven </t>
  </si>
  <si>
    <t>Byars Cr to Picnic Area</t>
  </si>
  <si>
    <t>Mount Pisgah to mouth</t>
  </si>
  <si>
    <t>Dutch Oven to Rebel Cr.</t>
  </si>
  <si>
    <t>N Sant. Above Detroit Total</t>
  </si>
  <si>
    <t>Row River mouth to Lynx Hollow Park</t>
  </si>
  <si>
    <t>Rebel Cr. to NFD 1980</t>
  </si>
  <si>
    <t>Cottage Grove Dam to mouth</t>
  </si>
  <si>
    <t>NFD 1980 to Reservoir</t>
  </si>
  <si>
    <t>Row River: Mosby creek</t>
  </si>
  <si>
    <t>Row River: Reservoir to Mouth</t>
  </si>
  <si>
    <t>S FK Above Dam Total</t>
  </si>
  <si>
    <t>Reach-specific pHOS (2015 data as proxy where necessary)</t>
  </si>
  <si>
    <t>Peak redd counts in 2016 and estimates of spawner abundance based on simple expansion of the peak redd count (Peak Redds*2.5) with parsing into NORs and HORs using 2015 estimates of pHOS (the estimates will change when 2016 pHOS data are available).</t>
  </si>
  <si>
    <t>% Thermally Marked Otoliths from Unclipped Carcasses in 2015</t>
  </si>
  <si>
    <t>Proportion of hatchery-origin spawners (pHOS) in 2016 based on processing of Chinook carcasses collected during spawning ground surveys. Otolith-based adjustments use 2015 data until otoliths from 2016 are read (~March, 2016).  Basin-wide pHOS estimates are weighted by reach-specific peak redd counts to adjust for differences between redd and carcass distributions.</t>
  </si>
  <si>
    <t xml:space="preserve">Estimates of prespawning mortality of Chinook salmon in 2016. Estimate is based on inspection of female carcasses. Any female carcass containing more than a visually estimated 50% of its eggs was counted as a prespawn mortality. </t>
  </si>
  <si>
    <t>Totals Upper and Lower Bennett through November 12th, 2016</t>
  </si>
  <si>
    <t>Upper Bennett</t>
  </si>
  <si>
    <t>Lower Bennett</t>
  </si>
  <si>
    <t>Chinook salmon outplanted in 2016</t>
  </si>
  <si>
    <t>?</t>
  </si>
  <si>
    <t>Frissel Crossing (from McK Hatchery)</t>
  </si>
  <si>
    <t>Estimated Outplanted Survivors</t>
  </si>
  <si>
    <t>not all went to Gordon Rd</t>
  </si>
  <si>
    <t>Metadata</t>
  </si>
  <si>
    <t>Subject</t>
  </si>
  <si>
    <t>Element Name</t>
  </si>
  <si>
    <t>Description/Example</t>
  </si>
  <si>
    <t>Enter Information Here</t>
  </si>
  <si>
    <r>
      <t xml:space="preserve">Metadata </t>
    </r>
    <r>
      <rPr>
        <b/>
        <sz val="11"/>
        <color theme="4" tint="-0.249977111117893"/>
        <rFont val="Calibri"/>
        <family val="2"/>
        <scheme val="minor"/>
      </rPr>
      <t>author</t>
    </r>
  </si>
  <si>
    <t>Provide first and last name</t>
  </si>
  <si>
    <t>Cameron Sharpe</t>
  </si>
  <si>
    <r>
      <t xml:space="preserve">Created </t>
    </r>
    <r>
      <rPr>
        <b/>
        <sz val="11"/>
        <color theme="4" tint="-0.249977111117893"/>
        <rFont val="Calibri"/>
        <family val="2"/>
        <scheme val="minor"/>
      </rPr>
      <t xml:space="preserve">date </t>
    </r>
    <r>
      <rPr>
        <sz val="11"/>
        <color theme="4" tint="-0.249977111117893"/>
        <rFont val="Calibri"/>
        <family val="2"/>
        <scheme val="minor"/>
      </rPr>
      <t>of metadata</t>
    </r>
  </si>
  <si>
    <t>(e.g. 12/04/2012)</t>
  </si>
  <si>
    <t>Title</t>
  </si>
  <si>
    <r>
      <t xml:space="preserve">The </t>
    </r>
    <r>
      <rPr>
        <b/>
        <sz val="11"/>
        <color theme="4" tint="-0.249977111117893"/>
        <rFont val="Calibri"/>
        <family val="2"/>
        <scheme val="minor"/>
      </rPr>
      <t xml:space="preserve">name </t>
    </r>
    <r>
      <rPr>
        <sz val="11"/>
        <color theme="4" tint="-0.249977111117893"/>
        <rFont val="Calibri"/>
        <family val="2"/>
        <scheme val="minor"/>
      </rPr>
      <t>of the data</t>
    </r>
  </si>
  <si>
    <t xml:space="preserve">(e.g. 2012 Summer Steelhead Spawning Ground Survey Redd Locations in Ladd Creek Watershed)  </t>
  </si>
  <si>
    <r>
      <rPr>
        <sz val="11"/>
        <color theme="4" tint="-0.249977111117893"/>
        <rFont val="Calibri"/>
        <family val="2"/>
        <scheme val="minor"/>
      </rPr>
      <t xml:space="preserve">If the data has been used in any reports, provide the </t>
    </r>
    <r>
      <rPr>
        <b/>
        <sz val="11"/>
        <color theme="4" tint="-0.249977111117893"/>
        <rFont val="Calibri"/>
        <family val="2"/>
        <scheme val="minor"/>
      </rPr>
      <t>Citation(s)</t>
    </r>
  </si>
  <si>
    <t>(e.g. Tippery, S.E. and K.K. Jones. 2011. Amphibian distribution in wadeable streams and ponds in western and southeast Oregon, 2009-2010. ODFW Progress Reports 2011, Fish Research Project, Corvallis)</t>
  </si>
  <si>
    <t>NA</t>
  </si>
  <si>
    <t>Tags</t>
  </si>
  <si>
    <r>
      <t xml:space="preserve">List the </t>
    </r>
    <r>
      <rPr>
        <b/>
        <sz val="11"/>
        <color theme="4" tint="-0.249977111117893"/>
        <rFont val="Calibri"/>
        <family val="2"/>
        <scheme val="minor"/>
      </rPr>
      <t>keywords</t>
    </r>
    <r>
      <rPr>
        <sz val="11"/>
        <color theme="4" tint="-0.249977111117893"/>
        <rFont val="Calibri"/>
        <family val="2"/>
        <scheme val="minor"/>
      </rPr>
      <t xml:space="preserve"> </t>
    </r>
  </si>
  <si>
    <r>
      <t xml:space="preserve">Single words or phrases that describe the data </t>
    </r>
    <r>
      <rPr>
        <i/>
        <sz val="10"/>
        <color theme="1"/>
        <rFont val="Calibri"/>
        <family val="2"/>
        <scheme val="minor"/>
      </rPr>
      <t>(e.g. mule deer, Odocoileus hemionus, habitat)</t>
    </r>
  </si>
  <si>
    <t>Summary</t>
  </si>
  <si>
    <r>
      <t xml:space="preserve">Provide a </t>
    </r>
    <r>
      <rPr>
        <b/>
        <sz val="11"/>
        <color theme="4" tint="-0.249977111117893"/>
        <rFont val="Calibri"/>
        <family val="2"/>
        <scheme val="minor"/>
      </rPr>
      <t>short description</t>
    </r>
    <r>
      <rPr>
        <sz val="11"/>
        <color theme="4" tint="-0.249977111117893"/>
        <rFont val="Calibri"/>
        <family val="2"/>
        <scheme val="minor"/>
      </rPr>
      <t xml:space="preserve"> of the data</t>
    </r>
  </si>
  <si>
    <t>Describe the data in such a way that someone outside the project will be able to understand it</t>
  </si>
  <si>
    <r>
      <t xml:space="preserve">Describe the </t>
    </r>
    <r>
      <rPr>
        <b/>
        <sz val="11"/>
        <color theme="4" tint="-0.249977111117893"/>
        <rFont val="Calibri"/>
        <family val="2"/>
        <scheme val="minor"/>
      </rPr>
      <t>purpose</t>
    </r>
    <r>
      <rPr>
        <sz val="11"/>
        <color theme="4" tint="-0.249977111117893"/>
        <rFont val="Calibri"/>
        <family val="2"/>
        <scheme val="minor"/>
      </rPr>
      <t xml:space="preserve"> of the data</t>
    </r>
  </si>
  <si>
    <t>Explain why the data was collected specifically</t>
  </si>
  <si>
    <r>
      <t xml:space="preserve">Provide </t>
    </r>
    <r>
      <rPr>
        <b/>
        <sz val="11"/>
        <color theme="4" tint="-0.249977111117893"/>
        <rFont val="Calibri"/>
        <family val="2"/>
        <scheme val="minor"/>
      </rPr>
      <t>background information</t>
    </r>
  </si>
  <si>
    <r>
      <t xml:space="preserve">An explanation about the general or bigger picture need for the data </t>
    </r>
    <r>
      <rPr>
        <i/>
        <sz val="10"/>
        <color theme="1"/>
        <rFont val="Calibri"/>
        <family val="2"/>
        <scheme val="minor"/>
      </rPr>
      <t>(e.g conservation issue, policy/regulations support, research, etc.)</t>
    </r>
  </si>
  <si>
    <t>Monitoring conducted by ODFW Hatchery Research Monitoring and Evaluation Project</t>
  </si>
  <si>
    <t>Description</t>
  </si>
  <si>
    <r>
      <t xml:space="preserve">What the </t>
    </r>
    <r>
      <rPr>
        <b/>
        <sz val="11"/>
        <color theme="4" tint="-0.249977111117893"/>
        <rFont val="Calibri"/>
        <family val="2"/>
        <scheme val="minor"/>
      </rPr>
      <t>data represent</t>
    </r>
  </si>
  <si>
    <r>
      <t xml:space="preserve">Describe the data with as much detail as possible </t>
    </r>
    <r>
      <rPr>
        <i/>
        <sz val="10"/>
        <color theme="1"/>
        <rFont val="Calibri"/>
        <family val="2"/>
        <scheme val="minor"/>
      </rPr>
      <t>(e.g. Redd counts and locations survey in Ladd Creek between river miles 3-15 during fall 2012; Black-tailed deer composition surveys for Fall 2012 in the Dixon Unit including sex, age and environmental characteristics)</t>
    </r>
  </si>
  <si>
    <r>
      <t>Time period</t>
    </r>
    <r>
      <rPr>
        <sz val="11"/>
        <color theme="4" tint="-0.249977111117893"/>
        <rFont val="Calibri"/>
        <family val="2"/>
        <scheme val="minor"/>
      </rPr>
      <t xml:space="preserve"> of data collection</t>
    </r>
  </si>
  <si>
    <t>(e.g. 12/04/2008 or 12/04/2008-07/06/2009)</t>
  </si>
  <si>
    <t>Data collection methods</t>
  </si>
  <si>
    <r>
      <rPr>
        <sz val="10"/>
        <color theme="1"/>
        <rFont val="Calibri"/>
        <family val="2"/>
        <scheme val="minor"/>
      </rPr>
      <t xml:space="preserve">Include a description of the preparation steps, the collection process and any irregularities that may have occurred, and any post-collection steps </t>
    </r>
    <r>
      <rPr>
        <i/>
        <sz val="10"/>
        <color theme="1"/>
        <rFont val="Calibri"/>
        <family val="2"/>
        <scheme val="minor"/>
      </rPr>
      <t xml:space="preserve">(e.g. an online link to a specific data collection protocol, or a paragraph describing the data collection methods, equipment, personnel, data entry/import steps and software used, etc.) </t>
    </r>
  </si>
  <si>
    <t>Surveyors walked and boated spawning reaches to count redds and collect carcasses</t>
  </si>
  <si>
    <t>For data with a spatial component (i.e. collected/created with GPS/GIS), provide the following:</t>
  </si>
  <si>
    <t>Spatial data capture method</t>
  </si>
  <si>
    <r>
      <rPr>
        <sz val="10"/>
        <color theme="1"/>
        <rFont val="Calibri"/>
        <family val="2"/>
        <scheme val="minor"/>
      </rPr>
      <t xml:space="preserve">Be specific about make, model, or source details 
</t>
    </r>
    <r>
      <rPr>
        <i/>
        <sz val="10"/>
        <color theme="1"/>
        <rFont val="Calibri"/>
        <family val="2"/>
        <scheme val="minor"/>
      </rPr>
      <t>(e.g. Garmin GPSmap 62S, USGS 7.5 minute quadrangle (paper), 3-meter digital imagery, Lotek GPS collar 3300S)</t>
    </r>
  </si>
  <si>
    <t>Spatial reference</t>
  </si>
  <si>
    <t>use the dropdown values (click on the cell to the right) or add your own if not available in the list</t>
  </si>
  <si>
    <t>Spatial format</t>
  </si>
  <si>
    <t>Spatial quality overall</t>
  </si>
  <si>
    <t>(provide estimated or known values for all that apply):</t>
  </si>
  <si>
    <t>1.  Accuracy</t>
  </si>
  <si>
    <r>
      <rPr>
        <sz val="10"/>
        <color rgb="FFFF0000"/>
        <rFont val="Calibri"/>
        <family val="2"/>
        <scheme val="minor"/>
      </rPr>
      <t>more explanation in comment box (red corner)</t>
    </r>
    <r>
      <rPr>
        <i/>
        <sz val="10"/>
        <color theme="1"/>
        <rFont val="Calibri"/>
        <family val="2"/>
        <scheme val="minor"/>
      </rPr>
      <t xml:space="preserve">
(e.g. &lt;10 meters on a GPS unit) </t>
    </r>
  </si>
  <si>
    <t>2.  Precision</t>
  </si>
  <si>
    <r>
      <rPr>
        <sz val="10"/>
        <color rgb="FFFF0000"/>
        <rFont val="Calibri"/>
        <family val="2"/>
        <scheme val="minor"/>
      </rPr>
      <t>more explanation in comment box (red corner)</t>
    </r>
    <r>
      <rPr>
        <i/>
        <sz val="10"/>
        <color theme="1"/>
        <rFont val="Calibri"/>
        <family val="2"/>
        <scheme val="minor"/>
      </rPr>
      <t xml:space="preserve">
(e.g. 2-3 DOP on a GPS unit)</t>
    </r>
  </si>
  <si>
    <t>3.  Scale</t>
  </si>
  <si>
    <r>
      <rPr>
        <sz val="10"/>
        <color rgb="FFFF0000"/>
        <rFont val="Calibri"/>
        <family val="2"/>
        <scheme val="minor"/>
      </rPr>
      <t>more explanation in comment box (red corner)</t>
    </r>
    <r>
      <rPr>
        <i/>
        <sz val="10"/>
        <color theme="1"/>
        <rFont val="Calibri"/>
        <family val="2"/>
        <scheme val="minor"/>
      </rPr>
      <t xml:space="preserve">
(e.g. digitized at 1:24k in GIS)</t>
    </r>
  </si>
  <si>
    <t>Credits</t>
  </si>
  <si>
    <r>
      <rPr>
        <sz val="11"/>
        <color theme="4" tint="-0.249977111117893"/>
        <rFont val="Calibri"/>
        <family val="2"/>
        <scheme val="minor"/>
      </rPr>
      <t xml:space="preserve">Provide the </t>
    </r>
    <r>
      <rPr>
        <b/>
        <sz val="11"/>
        <color theme="4" tint="-0.249977111117893"/>
        <rFont val="Calibri"/>
        <family val="2"/>
        <scheme val="minor"/>
      </rPr>
      <t xml:space="preserve">primary contact and institution/entity who created the data </t>
    </r>
    <r>
      <rPr>
        <sz val="11"/>
        <color theme="4" tint="-0.249977111117893"/>
        <rFont val="Calibri"/>
        <family val="2"/>
        <scheme val="minor"/>
      </rPr>
      <t xml:space="preserve">and </t>
    </r>
    <r>
      <rPr>
        <b/>
        <sz val="11"/>
        <color theme="4" tint="-0.249977111117893"/>
        <rFont val="Calibri"/>
        <family val="2"/>
        <scheme val="minor"/>
      </rPr>
      <t xml:space="preserve">contact information </t>
    </r>
    <r>
      <rPr>
        <sz val="11"/>
        <color theme="4" tint="-0.249977111117893"/>
        <rFont val="Calibri"/>
        <family val="2"/>
        <scheme val="minor"/>
      </rPr>
      <t>as known</t>
    </r>
  </si>
  <si>
    <t>(e.g. contact name, institution/entity name, phone, email, website)</t>
  </si>
  <si>
    <r>
      <rPr>
        <sz val="11"/>
        <color theme="4" tint="-0.249977111117893"/>
        <rFont val="Calibri"/>
        <family val="2"/>
        <scheme val="minor"/>
      </rPr>
      <t xml:space="preserve">If your data is a modification of an original dataset, provide the credits of the </t>
    </r>
    <r>
      <rPr>
        <b/>
        <sz val="11"/>
        <color theme="4" tint="-0.249977111117893"/>
        <rFont val="Calibri"/>
        <family val="2"/>
        <scheme val="minor"/>
      </rPr>
      <t>Source-institution/entity a</t>
    </r>
    <r>
      <rPr>
        <sz val="11"/>
        <color theme="4" tint="-0.249977111117893"/>
        <rFont val="Calibri"/>
        <family val="2"/>
        <scheme val="minor"/>
      </rPr>
      <t xml:space="preserve">s known and others </t>
    </r>
    <r>
      <rPr>
        <b/>
        <sz val="11"/>
        <color theme="4" tint="-0.249977111117893"/>
        <rFont val="Calibri"/>
        <family val="2"/>
        <scheme val="minor"/>
      </rPr>
      <t>partners</t>
    </r>
    <r>
      <rPr>
        <sz val="11"/>
        <color theme="4" tint="-0.249977111117893"/>
        <rFont val="Calibri"/>
        <family val="2"/>
        <scheme val="minor"/>
      </rPr>
      <t xml:space="preserve"> involved in the creation of this dataset</t>
    </r>
  </si>
  <si>
    <t>(e.g. original dataset name, source-institution/entity name, phone, email, website)</t>
  </si>
  <si>
    <r>
      <t xml:space="preserve">Publication date </t>
    </r>
    <r>
      <rPr>
        <sz val="11"/>
        <color theme="4" tint="-0.249977111117893"/>
        <rFont val="Calibri"/>
        <family val="2"/>
        <scheme val="minor"/>
      </rPr>
      <t>of the dataset</t>
    </r>
  </si>
  <si>
    <r>
      <rPr>
        <sz val="10"/>
        <color theme="1"/>
        <rFont val="Calibri"/>
        <family val="2"/>
        <scheme val="minor"/>
      </rPr>
      <t xml:space="preserve">The date the data was made available/finalized
</t>
    </r>
    <r>
      <rPr>
        <i/>
        <sz val="10"/>
        <color theme="1"/>
        <rFont val="Calibri"/>
        <family val="2"/>
        <scheme val="minor"/>
      </rPr>
      <t>(e.g. 12/04/2008 or DRAFT-unfinalized data)</t>
    </r>
  </si>
  <si>
    <t>DRAFT unfinalized data</t>
  </si>
  <si>
    <r>
      <t xml:space="preserve">If applicable, a </t>
    </r>
    <r>
      <rPr>
        <b/>
        <sz val="11"/>
        <color theme="4" tint="-0.249977111117893"/>
        <rFont val="Calibri"/>
        <family val="2"/>
        <scheme val="minor"/>
      </rPr>
      <t xml:space="preserve">publication date </t>
    </r>
    <r>
      <rPr>
        <sz val="11"/>
        <color theme="4" tint="-0.249977111117893"/>
        <rFont val="Calibri"/>
        <family val="2"/>
        <scheme val="minor"/>
      </rPr>
      <t>for each original and modified dataset</t>
    </r>
  </si>
  <si>
    <r>
      <rPr>
        <sz val="10"/>
        <color theme="1"/>
        <rFont val="Calibri"/>
        <family val="2"/>
        <scheme val="minor"/>
      </rPr>
      <t>The date the data was made available/finalized</t>
    </r>
    <r>
      <rPr>
        <i/>
        <sz val="10"/>
        <color theme="1"/>
        <rFont val="Calibri"/>
        <family val="2"/>
        <scheme val="minor"/>
      </rPr>
      <t xml:space="preserve">
(e.g. 12/04/2008 or DRAFT-unfinalized data)</t>
    </r>
  </si>
  <si>
    <t>Use Limitations</t>
  </si>
  <si>
    <t>Methods for others to acquire the data</t>
  </si>
  <si>
    <t>(e.g. website download, email)</t>
  </si>
  <si>
    <t>Data distribution statement</t>
  </si>
  <si>
    <t>(e.g., “Data may be distributed provided that this metadata file accompanies the data”, or “Data may not be distributed. Please refer all inquiries to name of contact person.”,  or “Data may be used freely by ODFW personnel. External data requests should be directed to name of contact person”)</t>
  </si>
  <si>
    <t>Data may be distributed provided this metadata accompanies the data</t>
  </si>
  <si>
    <t>Specific restrictions, caveats, or additional information</t>
  </si>
  <si>
    <t xml:space="preserve">(examples; habitat type ‘X’ is not represented in this dataset, data were collected on state land only, seine net mesh size is too large to capture fish less than ‘size X’, sampling occurred in summer only when several migratory bird species were not present, data include breeding grounds for species ‘X’ but not for species ‘Y’, data was collected prior to species ‘X’ returning to native stream.) </t>
  </si>
  <si>
    <r>
      <t xml:space="preserve">Disclaimer </t>
    </r>
    <r>
      <rPr>
        <sz val="11"/>
        <color theme="4" tint="-0.249977111117893"/>
        <rFont val="Calibri"/>
        <family val="2"/>
        <scheme val="minor"/>
      </rPr>
      <t>(include the following:)</t>
    </r>
  </si>
  <si>
    <t>Add the contact email address</t>
  </si>
  <si>
    <t>The Oregon Department of Fish and Wildlife shall not be held liable for improper or incorrect use of the data described and/or contained herein. Oregon Department of Fish and Wildlife shall be acknowledged as data contributors to any reports or other products derived from these data.  This spatial data layer was developed based on a variety of sources. Care was taken in the creation of this layer, but it is provided "as is." The Oregon Department of Fish and Wildlife cannot accept any responsibility for errors, omissions, or positional accuracy in the digital data or underlying records. There are no warranties, expressed or implied, including the warranty of merchantability or fitness for a particular purpose, accompanying any of these products.</t>
  </si>
  <si>
    <t>Drop-downs</t>
  </si>
  <si>
    <t>Reference</t>
  </si>
  <si>
    <t>WGS84</t>
  </si>
  <si>
    <t>NAD83</t>
  </si>
  <si>
    <t>UTM Zone 10 NAD83</t>
  </si>
  <si>
    <t>UTM Zone 11 NAD83</t>
  </si>
  <si>
    <t>Oregon State Lambert</t>
  </si>
  <si>
    <t>Spatial Format</t>
  </si>
  <si>
    <t>coordinates</t>
  </si>
  <si>
    <t>point</t>
  </si>
  <si>
    <t>line</t>
  </si>
  <si>
    <t>polygon</t>
  </si>
  <si>
    <t>Chinook survey results from 2016</t>
  </si>
  <si>
    <t>July - October, 2016</t>
  </si>
  <si>
    <t>Modification of spreadsheet-based survey results. Original path and filename is file:///P:\Everyone\Cam%20Sharpe\Meetings\HMT%2011-16-16\HRME%202016%20DRAFT%20PRELIMINARY%20Data%20Summary.xlsx</t>
  </si>
  <si>
    <t>These data were compiled to prest at the monthly HMT meeting in Corvallis</t>
  </si>
  <si>
    <t>Preliminary estimates of spawner abundance and distribution. The data will change upon further analysis and, especially, when otolith data from carcasses collected in 2016 become available</t>
  </si>
  <si>
    <t>Spring Chinook, abundance estimates, Upper Willamette</t>
  </si>
  <si>
    <t>Summary data on redd and spawner abundance, pHOS, PSM, Outplanting , and video counts in 2016</t>
  </si>
  <si>
    <t>To estimate spawner abundance and other viability metrics for spring Chinook salmon in the upper Willamette subbasins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</si>
</sst>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quot;$&quot;#,##0\ ;\(&quot;$&quot;#,##0\)"/>
  </numFmts>
  <fonts count="6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Times New Roman"/>
      <family val="1"/>
    </font>
    <font>
      <b/>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MS Sans Serif"/>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theme="1"/>
      <name val="Times New Roman"/>
      <family val="1"/>
    </font>
    <font>
      <sz val="10"/>
      <color indexed="61"/>
      <name val="Arial"/>
      <family val="2"/>
    </font>
    <font>
      <sz val="12"/>
      <color theme="1"/>
      <name val="Calibri"/>
      <family val="2"/>
      <scheme val="minor"/>
    </font>
    <font>
      <sz val="12"/>
      <name val="Arial"/>
      <family val="2"/>
    </font>
    <font>
      <sz val="10"/>
      <name val="MS Sans Serif"/>
      <family val="2"/>
    </font>
    <font>
      <sz val="12"/>
      <color rgb="FF000000"/>
      <name val="Times New Roman"/>
      <family val="1"/>
    </font>
    <font>
      <b/>
      <sz val="12"/>
      <color rgb="FF000000"/>
      <name val="Times New Roman"/>
      <family val="1"/>
    </font>
    <font>
      <b/>
      <i/>
      <sz val="12"/>
      <name val="Calibri"/>
      <family val="2"/>
      <scheme val="minor"/>
    </font>
    <font>
      <b/>
      <sz val="12"/>
      <color theme="1"/>
      <name val="Calibri"/>
      <family val="2"/>
      <scheme val="minor"/>
    </font>
    <font>
      <b/>
      <i/>
      <sz val="12"/>
      <color theme="1"/>
      <name val="Calibri"/>
      <family val="2"/>
      <scheme val="minor"/>
    </font>
    <font>
      <i/>
      <sz val="12"/>
      <color theme="1"/>
      <name val="Calibri"/>
      <family val="2"/>
      <scheme val="minor"/>
    </font>
    <font>
      <sz val="12"/>
      <name val="Calibri"/>
      <family val="2"/>
      <scheme val="minor"/>
    </font>
    <font>
      <b/>
      <sz val="12"/>
      <name val="Calibri"/>
      <family val="2"/>
      <scheme val="minor"/>
    </font>
    <font>
      <i/>
      <sz val="12"/>
      <name val="Calibri"/>
      <family val="2"/>
      <scheme val="minor"/>
    </font>
    <font>
      <sz val="10"/>
      <color indexed="8"/>
      <name val="Arial"/>
      <family val="2"/>
    </font>
    <font>
      <b/>
      <sz val="12"/>
      <color indexed="8"/>
      <name val="Calibri"/>
      <family val="2"/>
      <scheme val="minor"/>
    </font>
    <font>
      <sz val="12"/>
      <color indexed="8"/>
      <name val="Calibri"/>
      <family val="2"/>
      <scheme val="minor"/>
    </font>
    <font>
      <sz val="14"/>
      <color theme="1"/>
      <name val="Calibri"/>
      <family val="2"/>
      <scheme val="minor"/>
    </font>
    <font>
      <sz val="11"/>
      <color theme="4" tint="-0.249977111117893"/>
      <name val="Calibri"/>
      <family val="2"/>
      <scheme val="minor"/>
    </font>
    <font>
      <b/>
      <sz val="11"/>
      <color theme="4" tint="-0.249977111117893"/>
      <name val="Calibri"/>
      <family val="2"/>
      <scheme val="minor"/>
    </font>
    <font>
      <sz val="10"/>
      <color theme="1"/>
      <name val="Calibri"/>
      <family val="2"/>
      <scheme val="minor"/>
    </font>
    <font>
      <i/>
      <sz val="10"/>
      <color theme="1"/>
      <name val="Calibri"/>
      <family val="2"/>
      <scheme val="minor"/>
    </font>
    <font>
      <sz val="10"/>
      <color rgb="FFFF0000"/>
      <name val="Calibri"/>
      <family val="2"/>
      <scheme val="minor"/>
    </font>
    <font>
      <b/>
      <sz val="8"/>
      <color indexed="81"/>
      <name val="Tahoma"/>
      <family val="2"/>
    </font>
    <font>
      <sz val="8"/>
      <color indexed="81"/>
      <name val="Tahoma"/>
      <family val="2"/>
    </font>
  </fonts>
  <fills count="6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10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36" borderId="0" applyNumberFormat="0" applyBorder="0" applyAlignment="0" applyProtection="0"/>
    <xf numFmtId="0" fontId="21" fillId="39" borderId="0" applyNumberFormat="0" applyBorder="0" applyAlignment="0" applyProtection="0"/>
    <xf numFmtId="0" fontId="21" fillId="42" borderId="0" applyNumberFormat="0" applyBorder="0" applyAlignment="0" applyProtection="0"/>
    <xf numFmtId="0" fontId="22" fillId="43"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50" borderId="0" applyNumberFormat="0" applyBorder="0" applyAlignment="0" applyProtection="0"/>
    <xf numFmtId="0" fontId="23" fillId="34" borderId="0" applyNumberFormat="0" applyBorder="0" applyAlignment="0" applyProtection="0"/>
    <xf numFmtId="0" fontId="24" fillId="51" borderId="13" applyNumberFormat="0" applyAlignment="0" applyProtection="0"/>
    <xf numFmtId="0" fontId="25" fillId="52" borderId="14" applyNumberFormat="0" applyAlignment="0" applyProtection="0"/>
    <xf numFmtId="0" fontId="26" fillId="0" borderId="0" applyNumberFormat="0" applyFill="0" applyBorder="0" applyAlignment="0" applyProtection="0"/>
    <xf numFmtId="0" fontId="27" fillId="35" borderId="0" applyNumberFormat="0" applyBorder="0" applyAlignment="0" applyProtection="0"/>
    <xf numFmtId="0" fontId="28" fillId="0" borderId="15" applyNumberFormat="0" applyFill="0" applyAlignment="0" applyProtection="0"/>
    <xf numFmtId="0" fontId="29" fillId="0" borderId="16" applyNumberFormat="0" applyFill="0" applyAlignment="0" applyProtection="0"/>
    <xf numFmtId="0" fontId="30" fillId="0" borderId="17" applyNumberFormat="0" applyFill="0" applyAlignment="0" applyProtection="0"/>
    <xf numFmtId="0" fontId="30" fillId="0" borderId="0" applyNumberFormat="0" applyFill="0" applyBorder="0" applyAlignment="0" applyProtection="0"/>
    <xf numFmtId="0" fontId="31" fillId="38" borderId="13" applyNumberFormat="0" applyAlignment="0" applyProtection="0"/>
    <xf numFmtId="0" fontId="32" fillId="0" borderId="18" applyNumberFormat="0" applyFill="0" applyAlignment="0" applyProtection="0"/>
    <xf numFmtId="0" fontId="33" fillId="53" borderId="0" applyNumberFormat="0" applyBorder="0" applyAlignment="0" applyProtection="0"/>
    <xf numFmtId="0" fontId="18" fillId="0" borderId="0"/>
    <xf numFmtId="0" fontId="18" fillId="0" borderId="0"/>
    <xf numFmtId="0" fontId="34" fillId="54" borderId="19" applyNumberFormat="0" applyFont="0" applyAlignment="0" applyProtection="0"/>
    <xf numFmtId="0" fontId="34" fillId="54" borderId="19" applyNumberFormat="0" applyFont="0" applyAlignment="0" applyProtection="0"/>
    <xf numFmtId="0" fontId="35" fillId="51" borderId="20" applyNumberFormat="0" applyAlignment="0" applyProtection="0"/>
    <xf numFmtId="0" fontId="36" fillId="0" borderId="0" applyNumberFormat="0" applyFill="0" applyBorder="0" applyAlignment="0" applyProtection="0"/>
    <xf numFmtId="0" fontId="37" fillId="0" borderId="21" applyNumberFormat="0" applyFill="0" applyAlignment="0" applyProtection="0"/>
    <xf numFmtId="0" fontId="38" fillId="0" borderId="0" applyNumberFormat="0" applyFill="0" applyBorder="0" applyAlignment="0" applyProtection="0"/>
    <xf numFmtId="0" fontId="40" fillId="0" borderId="0" applyFont="0" applyFill="0" applyBorder="0" applyAlignment="0" applyProtection="0"/>
    <xf numFmtId="2" fontId="40" fillId="0" borderId="0" applyFont="0" applyFill="0" applyBorder="0" applyAlignment="0" applyProtection="0"/>
    <xf numFmtId="165" fontId="40" fillId="0" borderId="0" applyFont="0" applyFill="0" applyBorder="0" applyAlignment="0" applyProtection="0"/>
    <xf numFmtId="3" fontId="40" fillId="0" borderId="0" applyFont="0" applyFill="0" applyBorder="0" applyAlignment="0" applyProtection="0"/>
    <xf numFmtId="0" fontId="43" fillId="0" borderId="0"/>
    <xf numFmtId="0" fontId="1"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xf numFmtId="0" fontId="53" fillId="0" borderId="0"/>
  </cellStyleXfs>
  <cellXfs count="201">
    <xf numFmtId="0" fontId="0" fillId="0" borderId="0" xfId="0"/>
    <xf numFmtId="0" fontId="0" fillId="0" borderId="0" xfId="0" applyBorder="1"/>
    <xf numFmtId="0" fontId="19" fillId="0" borderId="12" xfId="42" applyFont="1" applyFill="1" applyBorder="1" applyAlignment="1">
      <alignment wrapText="1"/>
    </xf>
    <xf numFmtId="164" fontId="41" fillId="0" borderId="0" xfId="0" applyNumberFormat="1" applyFont="1"/>
    <xf numFmtId="0" fontId="42" fillId="0" borderId="0" xfId="42" applyFont="1"/>
    <xf numFmtId="0" fontId="41" fillId="0" borderId="0" xfId="0" applyFont="1"/>
    <xf numFmtId="9" fontId="39" fillId="0" borderId="0" xfId="0" applyNumberFormat="1" applyFont="1"/>
    <xf numFmtId="9" fontId="39" fillId="0" borderId="0" xfId="0" applyNumberFormat="1" applyFont="1" applyAlignment="1">
      <alignment vertical="center"/>
    </xf>
    <xf numFmtId="164" fontId="39" fillId="0" borderId="0" xfId="0" applyNumberFormat="1" applyFont="1" applyBorder="1"/>
    <xf numFmtId="0" fontId="39" fillId="0" borderId="0" xfId="0" applyFont="1"/>
    <xf numFmtId="164" fontId="39" fillId="0" borderId="12" xfId="0" applyNumberFormat="1" applyFont="1" applyBorder="1"/>
    <xf numFmtId="0" fontId="0" fillId="0" borderId="0" xfId="0"/>
    <xf numFmtId="0" fontId="19" fillId="0" borderId="10" xfId="42" applyFont="1" applyBorder="1" applyAlignment="1">
      <alignment vertical="center" wrapText="1"/>
    </xf>
    <xf numFmtId="0" fontId="19" fillId="0" borderId="10" xfId="42" applyFont="1" applyBorder="1" applyAlignment="1">
      <alignment horizontal="center" vertical="center" wrapText="1"/>
    </xf>
    <xf numFmtId="0" fontId="19" fillId="0" borderId="0" xfId="42" applyFont="1" applyBorder="1" applyAlignment="1">
      <alignment vertical="top" wrapText="1"/>
    </xf>
    <xf numFmtId="0" fontId="20" fillId="0" borderId="0" xfId="42" applyFont="1" applyBorder="1" applyAlignment="1">
      <alignment vertical="center" wrapText="1"/>
    </xf>
    <xf numFmtId="0" fontId="19" fillId="0" borderId="0" xfId="42" applyFont="1" applyBorder="1" applyAlignment="1">
      <alignment vertical="center" wrapText="1"/>
    </xf>
    <xf numFmtId="0" fontId="19" fillId="0" borderId="0" xfId="42" applyFont="1" applyBorder="1" applyAlignment="1">
      <alignment horizontal="right" vertical="top" wrapText="1"/>
    </xf>
    <xf numFmtId="0" fontId="19" fillId="0" borderId="0" xfId="42" quotePrefix="1" applyFont="1" applyBorder="1" applyAlignment="1">
      <alignment horizontal="right" vertical="top" wrapText="1"/>
    </xf>
    <xf numFmtId="0" fontId="19" fillId="0" borderId="12" xfId="42" applyFont="1" applyBorder="1" applyAlignment="1">
      <alignment horizontal="right" vertical="top" wrapText="1"/>
    </xf>
    <xf numFmtId="0" fontId="19" fillId="0" borderId="0" xfId="42" applyFont="1" applyBorder="1" applyAlignment="1">
      <alignment wrapText="1"/>
    </xf>
    <xf numFmtId="0" fontId="19" fillId="0" borderId="0" xfId="42" applyFont="1" applyFill="1" applyBorder="1" applyAlignment="1">
      <alignment wrapText="1"/>
    </xf>
    <xf numFmtId="9" fontId="19" fillId="0" borderId="0" xfId="42" applyNumberFormat="1" applyFont="1" applyBorder="1" applyAlignment="1">
      <alignment wrapText="1"/>
    </xf>
    <xf numFmtId="0" fontId="19" fillId="0" borderId="0" xfId="42" quotePrefix="1" applyFont="1" applyBorder="1" applyAlignment="1">
      <alignment horizontal="right" wrapText="1"/>
    </xf>
    <xf numFmtId="9" fontId="19" fillId="0" borderId="12" xfId="42" applyNumberFormat="1" applyFont="1" applyBorder="1" applyAlignment="1">
      <alignment wrapText="1"/>
    </xf>
    <xf numFmtId="0" fontId="19" fillId="0" borderId="0" xfId="0" applyFont="1"/>
    <xf numFmtId="1" fontId="39" fillId="0" borderId="0" xfId="0" applyNumberFormat="1" applyFont="1"/>
    <xf numFmtId="0" fontId="39" fillId="0" borderId="0" xfId="0" applyFont="1" applyBorder="1"/>
    <xf numFmtId="0" fontId="39" fillId="0" borderId="12" xfId="0" applyFont="1" applyBorder="1"/>
    <xf numFmtId="0" fontId="39" fillId="0" borderId="12" xfId="0" applyFont="1" applyBorder="1" applyAlignment="1">
      <alignment horizontal="center"/>
    </xf>
    <xf numFmtId="0" fontId="39" fillId="0" borderId="11" xfId="0" applyFont="1" applyBorder="1" applyAlignment="1">
      <alignment horizontal="center" vertical="center"/>
    </xf>
    <xf numFmtId="0" fontId="39" fillId="0" borderId="11" xfId="0" applyFont="1" applyBorder="1"/>
    <xf numFmtId="0" fontId="0" fillId="0" borderId="0" xfId="0"/>
    <xf numFmtId="164" fontId="39" fillId="0" borderId="0" xfId="0" applyNumberFormat="1" applyFont="1"/>
    <xf numFmtId="0" fontId="20" fillId="0" borderId="10" xfId="42" applyFont="1" applyBorder="1" applyAlignment="1">
      <alignment vertical="center" wrapText="1"/>
    </xf>
    <xf numFmtId="0" fontId="20" fillId="0" borderId="10" xfId="42" applyFont="1" applyBorder="1" applyAlignment="1">
      <alignment horizontal="center" vertical="center" wrapText="1"/>
    </xf>
    <xf numFmtId="3" fontId="39" fillId="0" borderId="12" xfId="0" applyNumberFormat="1" applyFont="1" applyBorder="1"/>
    <xf numFmtId="0" fontId="0" fillId="0" borderId="0" xfId="0"/>
    <xf numFmtId="3" fontId="39" fillId="0" borderId="0" xfId="0" applyNumberFormat="1" applyFont="1" applyBorder="1"/>
    <xf numFmtId="1" fontId="19" fillId="0" borderId="0" xfId="42" applyNumberFormat="1" applyFont="1" applyBorder="1" applyAlignment="1">
      <alignment wrapText="1"/>
    </xf>
    <xf numFmtId="1" fontId="39" fillId="0" borderId="0" xfId="42" applyNumberFormat="1" applyFont="1" applyBorder="1" applyAlignment="1">
      <alignment wrapText="1"/>
    </xf>
    <xf numFmtId="1" fontId="39" fillId="0" borderId="0" xfId="42" quotePrefix="1" applyNumberFormat="1" applyFont="1" applyBorder="1" applyAlignment="1">
      <alignment horizontal="right" wrapText="1"/>
    </xf>
    <xf numFmtId="164" fontId="19" fillId="0" borderId="0" xfId="42" applyNumberFormat="1" applyFont="1" applyBorder="1" applyAlignment="1">
      <alignment wrapText="1"/>
    </xf>
    <xf numFmtId="0" fontId="41" fillId="0" borderId="12" xfId="0" applyFont="1" applyBorder="1"/>
    <xf numFmtId="0" fontId="20" fillId="0" borderId="0" xfId="42" applyFont="1" applyBorder="1" applyAlignment="1">
      <alignment horizontal="right" wrapText="1"/>
    </xf>
    <xf numFmtId="164" fontId="19" fillId="0" borderId="0" xfId="42" quotePrefix="1" applyNumberFormat="1" applyFont="1" applyBorder="1" applyAlignment="1">
      <alignment wrapText="1"/>
    </xf>
    <xf numFmtId="9" fontId="39" fillId="0" borderId="0" xfId="0" quotePrefix="1" applyNumberFormat="1" applyFont="1"/>
    <xf numFmtId="9" fontId="39" fillId="0" borderId="12" xfId="0" quotePrefix="1" applyNumberFormat="1" applyFont="1" applyBorder="1"/>
    <xf numFmtId="0" fontId="39" fillId="0" borderId="0" xfId="0" applyFont="1" applyAlignment="1">
      <alignment vertical="center"/>
    </xf>
    <xf numFmtId="0" fontId="0" fillId="0" borderId="0" xfId="0" applyBorder="1" applyAlignment="1">
      <alignment wrapText="1"/>
    </xf>
    <xf numFmtId="0" fontId="0" fillId="0" borderId="0" xfId="0"/>
    <xf numFmtId="9" fontId="19" fillId="0" borderId="0" xfId="42" quotePrefix="1" applyNumberFormat="1" applyFont="1" applyBorder="1" applyAlignment="1">
      <alignment wrapText="1"/>
    </xf>
    <xf numFmtId="1" fontId="19" fillId="0" borderId="0" xfId="42" applyNumberFormat="1" applyFont="1" applyFill="1" applyBorder="1" applyAlignment="1">
      <alignment wrapText="1"/>
    </xf>
    <xf numFmtId="0" fontId="0" fillId="0" borderId="0" xfId="0" applyAlignment="1">
      <alignment horizontal="center" vertical="center" wrapText="1"/>
    </xf>
    <xf numFmtId="0" fontId="39" fillId="0" borderId="0" xfId="0" applyFont="1" applyBorder="1" applyAlignment="1">
      <alignment horizontal="center" vertical="center"/>
    </xf>
    <xf numFmtId="0" fontId="20" fillId="0" borderId="0" xfId="79" applyFont="1" applyBorder="1" applyAlignment="1">
      <alignment horizontal="center" vertical="center" wrapText="1"/>
    </xf>
    <xf numFmtId="0" fontId="45" fillId="0" borderId="23" xfId="0" applyFont="1" applyBorder="1" applyAlignment="1">
      <alignment horizontal="center" vertical="center" wrapText="1"/>
    </xf>
    <xf numFmtId="0" fontId="44" fillId="0" borderId="0" xfId="0" applyFont="1" applyAlignment="1">
      <alignment vertical="center"/>
    </xf>
    <xf numFmtId="0" fontId="44" fillId="0" borderId="22" xfId="0" applyFont="1" applyBorder="1" applyAlignment="1">
      <alignment vertical="center"/>
    </xf>
    <xf numFmtId="3" fontId="44" fillId="0" borderId="22" xfId="0" applyNumberFormat="1" applyFont="1" applyBorder="1" applyAlignment="1">
      <alignment horizontal="right" vertical="center"/>
    </xf>
    <xf numFmtId="3" fontId="44" fillId="0" borderId="0" xfId="0" applyNumberFormat="1" applyFont="1" applyAlignment="1">
      <alignment horizontal="right" vertical="center"/>
    </xf>
    <xf numFmtId="3" fontId="19" fillId="0" borderId="0" xfId="42" applyNumberFormat="1" applyFont="1" applyBorder="1" applyAlignment="1">
      <alignment wrapText="1"/>
    </xf>
    <xf numFmtId="3" fontId="39" fillId="0" borderId="0" xfId="0" applyNumberFormat="1" applyFont="1"/>
    <xf numFmtId="3" fontId="19" fillId="0" borderId="12" xfId="42" applyNumberFormat="1" applyFont="1" applyBorder="1" applyAlignment="1">
      <alignment wrapText="1"/>
    </xf>
    <xf numFmtId="3" fontId="19" fillId="0" borderId="0" xfId="42" quotePrefix="1" applyNumberFormat="1" applyFont="1" applyBorder="1" applyAlignment="1">
      <alignment horizontal="right" wrapText="1"/>
    </xf>
    <xf numFmtId="3" fontId="19" fillId="0" borderId="0" xfId="42" applyNumberFormat="1" applyFont="1" applyFill="1" applyBorder="1" applyAlignment="1">
      <alignment wrapText="1"/>
    </xf>
    <xf numFmtId="3" fontId="39" fillId="0" borderId="0" xfId="0" applyNumberFormat="1" applyFont="1" applyFill="1"/>
    <xf numFmtId="0" fontId="47" fillId="0" borderId="12" xfId="0" applyFont="1" applyBorder="1" applyAlignment="1">
      <alignment horizontal="left"/>
    </xf>
    <xf numFmtId="0" fontId="41" fillId="0" borderId="0" xfId="0" applyFont="1" applyAlignment="1">
      <alignment horizontal="left" indent="1"/>
    </xf>
    <xf numFmtId="0" fontId="48" fillId="0" borderId="0" xfId="0" applyFont="1" applyAlignment="1">
      <alignment horizontal="left" indent="1"/>
    </xf>
    <xf numFmtId="0" fontId="49" fillId="0" borderId="0" xfId="0" applyFont="1" applyAlignment="1">
      <alignment horizontal="right"/>
    </xf>
    <xf numFmtId="0" fontId="47" fillId="0" borderId="0" xfId="0" applyFont="1" applyAlignment="1">
      <alignment horizontal="center"/>
    </xf>
    <xf numFmtId="0" fontId="41" fillId="0" borderId="0" xfId="0" applyFont="1" applyAlignment="1">
      <alignment horizontal="center"/>
    </xf>
    <xf numFmtId="0" fontId="50" fillId="0" borderId="12" xfId="0" applyFont="1" applyBorder="1"/>
    <xf numFmtId="0" fontId="50" fillId="0" borderId="0" xfId="0" applyFont="1" applyBorder="1" applyAlignment="1">
      <alignment horizontal="left"/>
    </xf>
    <xf numFmtId="0" fontId="50" fillId="0" borderId="0" xfId="0" applyFont="1" applyAlignment="1">
      <alignment horizontal="left" indent="1"/>
    </xf>
    <xf numFmtId="0" fontId="51" fillId="0" borderId="0" xfId="0" applyFont="1" applyAlignment="1">
      <alignment horizontal="right" indent="1"/>
    </xf>
    <xf numFmtId="0" fontId="50" fillId="0" borderId="0" xfId="0" applyFont="1"/>
    <xf numFmtId="0" fontId="51" fillId="0" borderId="0" xfId="0" applyFont="1" applyAlignment="1">
      <alignment horizontal="right"/>
    </xf>
    <xf numFmtId="0" fontId="50" fillId="0" borderId="0" xfId="0" applyFont="1" applyAlignment="1">
      <alignment horizontal="center"/>
    </xf>
    <xf numFmtId="0" fontId="41" fillId="0" borderId="0" xfId="0" applyNumberFormat="1" applyFont="1" applyAlignment="1">
      <alignment horizontal="center"/>
    </xf>
    <xf numFmtId="0" fontId="50" fillId="56" borderId="24" xfId="0" applyFont="1" applyFill="1" applyBorder="1" applyAlignment="1">
      <alignment horizontal="center"/>
    </xf>
    <xf numFmtId="0" fontId="41" fillId="0" borderId="0" xfId="0" applyNumberFormat="1" applyFont="1" applyFill="1" applyAlignment="1">
      <alignment horizontal="center"/>
    </xf>
    <xf numFmtId="0" fontId="50" fillId="0" borderId="0" xfId="0" applyFont="1" applyFill="1" applyBorder="1" applyAlignment="1">
      <alignment horizontal="center"/>
    </xf>
    <xf numFmtId="0" fontId="51" fillId="57" borderId="24" xfId="0" applyFont="1" applyFill="1" applyBorder="1" applyAlignment="1">
      <alignment horizontal="center"/>
    </xf>
    <xf numFmtId="0" fontId="51" fillId="58" borderId="24" xfId="0" applyFont="1" applyFill="1" applyBorder="1" applyAlignment="1">
      <alignment horizontal="center"/>
    </xf>
    <xf numFmtId="0" fontId="50" fillId="59" borderId="24" xfId="0" applyFont="1" applyFill="1" applyBorder="1" applyAlignment="1">
      <alignment horizontal="center"/>
    </xf>
    <xf numFmtId="0" fontId="51" fillId="60" borderId="24" xfId="0" applyFont="1" applyFill="1" applyBorder="1" applyAlignment="1">
      <alignment horizontal="center"/>
    </xf>
    <xf numFmtId="0" fontId="50" fillId="0" borderId="0" xfId="0" applyFont="1" applyFill="1" applyAlignment="1">
      <alignment horizontal="center"/>
    </xf>
    <xf numFmtId="0" fontId="51" fillId="56" borderId="24" xfId="0" applyFont="1" applyFill="1" applyBorder="1" applyAlignment="1">
      <alignment horizontal="center"/>
    </xf>
    <xf numFmtId="0" fontId="41" fillId="0" borderId="0" xfId="0" applyFont="1" applyBorder="1" applyAlignment="1">
      <alignment horizontal="left" indent="1"/>
    </xf>
    <xf numFmtId="0" fontId="47" fillId="0" borderId="0" xfId="0" applyFont="1" applyFill="1" applyBorder="1" applyAlignment="1">
      <alignment horizontal="left" indent="1"/>
    </xf>
    <xf numFmtId="0" fontId="51" fillId="0" borderId="22" xfId="0" applyFont="1" applyBorder="1" applyAlignment="1">
      <alignment horizontal="left"/>
    </xf>
    <xf numFmtId="0" fontId="50" fillId="0" borderId="0" xfId="0" applyFont="1" applyAlignment="1"/>
    <xf numFmtId="0" fontId="41" fillId="0" borderId="0" xfId="0" applyFont="1" applyAlignment="1"/>
    <xf numFmtId="0" fontId="50" fillId="0" borderId="0" xfId="0" applyFont="1" applyAlignment="1">
      <alignment horizontal="right" indent="1"/>
    </xf>
    <xf numFmtId="0" fontId="51" fillId="0" borderId="0" xfId="0" applyFont="1" applyFill="1" applyBorder="1" applyAlignment="1">
      <alignment horizontal="left" indent="1"/>
    </xf>
    <xf numFmtId="0" fontId="50" fillId="57" borderId="24" xfId="0" applyFont="1" applyFill="1" applyBorder="1" applyAlignment="1">
      <alignment horizontal="center"/>
    </xf>
    <xf numFmtId="0" fontId="51" fillId="58" borderId="25" xfId="0" applyFont="1" applyFill="1" applyBorder="1" applyAlignment="1">
      <alignment horizontal="center"/>
    </xf>
    <xf numFmtId="0" fontId="51" fillId="59" borderId="24" xfId="0" applyFont="1" applyFill="1" applyBorder="1" applyAlignment="1">
      <alignment horizontal="center"/>
    </xf>
    <xf numFmtId="0" fontId="47" fillId="61" borderId="0" xfId="0" applyFont="1" applyFill="1" applyAlignment="1">
      <alignment horizontal="center"/>
    </xf>
    <xf numFmtId="0" fontId="52" fillId="0" borderId="0" xfId="0" applyFont="1"/>
    <xf numFmtId="0" fontId="47" fillId="0" borderId="12" xfId="0" applyFont="1" applyBorder="1"/>
    <xf numFmtId="0" fontId="41" fillId="0" borderId="0" xfId="0" applyFont="1" applyFill="1" applyBorder="1" applyAlignment="1">
      <alignment horizontal="left" indent="1"/>
    </xf>
    <xf numFmtId="0" fontId="51" fillId="0" borderId="22" xfId="0" applyFont="1" applyBorder="1"/>
    <xf numFmtId="0" fontId="50" fillId="0" borderId="0" xfId="0" applyFont="1" applyBorder="1" applyAlignment="1">
      <alignment horizontal="left" indent="1"/>
    </xf>
    <xf numFmtId="0" fontId="51" fillId="62" borderId="25" xfId="0" applyFont="1" applyFill="1" applyBorder="1" applyAlignment="1">
      <alignment horizontal="center"/>
    </xf>
    <xf numFmtId="0" fontId="41" fillId="0" borderId="0" xfId="0" applyFont="1" applyBorder="1"/>
    <xf numFmtId="0" fontId="51" fillId="63" borderId="24" xfId="0" applyFont="1" applyFill="1" applyBorder="1" applyAlignment="1">
      <alignment horizontal="center"/>
    </xf>
    <xf numFmtId="14" fontId="50" fillId="0" borderId="0" xfId="0" applyNumberFormat="1" applyFont="1" applyBorder="1" applyAlignment="1">
      <alignment horizontal="left"/>
    </xf>
    <xf numFmtId="0" fontId="51" fillId="0" borderId="0" xfId="0" applyFont="1"/>
    <xf numFmtId="0" fontId="54" fillId="0" borderId="12" xfId="104" applyFont="1" applyFill="1" applyBorder="1" applyAlignment="1">
      <alignment wrapText="1"/>
    </xf>
    <xf numFmtId="0" fontId="55" fillId="0" borderId="0" xfId="104" applyFont="1" applyFill="1" applyBorder="1" applyAlignment="1">
      <alignment horizontal="left" wrapText="1" indent="1"/>
    </xf>
    <xf numFmtId="0" fontId="55" fillId="0" borderId="0" xfId="104" applyFont="1" applyFill="1" applyBorder="1" applyAlignment="1"/>
    <xf numFmtId="0" fontId="48" fillId="0" borderId="0" xfId="0" applyFont="1" applyAlignment="1">
      <alignment horizontal="right"/>
    </xf>
    <xf numFmtId="0" fontId="41" fillId="56" borderId="24" xfId="0" applyNumberFormat="1" applyFont="1" applyFill="1" applyBorder="1" applyAlignment="1">
      <alignment horizontal="center"/>
    </xf>
    <xf numFmtId="0" fontId="50" fillId="61" borderId="25" xfId="0" applyFont="1" applyFill="1" applyBorder="1" applyAlignment="1">
      <alignment horizontal="center"/>
    </xf>
    <xf numFmtId="0" fontId="41" fillId="59" borderId="24" xfId="0" applyFont="1" applyFill="1" applyBorder="1" applyAlignment="1">
      <alignment horizontal="center"/>
    </xf>
    <xf numFmtId="0" fontId="55" fillId="0" borderId="0" xfId="104" applyFont="1" applyFill="1" applyBorder="1" applyAlignment="1">
      <alignment horizontal="center" wrapText="1"/>
    </xf>
    <xf numFmtId="0" fontId="47" fillId="59" borderId="0" xfId="0" applyFont="1" applyFill="1" applyAlignment="1">
      <alignment horizontal="center"/>
    </xf>
    <xf numFmtId="0" fontId="47" fillId="58" borderId="0" xfId="0" applyFont="1" applyFill="1" applyAlignment="1">
      <alignment horizontal="center"/>
    </xf>
    <xf numFmtId="3" fontId="19" fillId="0" borderId="0" xfId="42" quotePrefix="1" applyNumberFormat="1" applyFont="1" applyBorder="1" applyAlignment="1">
      <alignment wrapText="1"/>
    </xf>
    <xf numFmtId="3" fontId="19" fillId="0" borderId="12" xfId="42" quotePrefix="1" applyNumberFormat="1" applyFont="1" applyBorder="1" applyAlignment="1">
      <alignment wrapText="1"/>
    </xf>
    <xf numFmtId="0" fontId="39" fillId="0" borderId="0" xfId="0" applyFont="1" applyBorder="1" applyAlignment="1">
      <alignment horizontal="left" vertical="center" wrapText="1"/>
    </xf>
    <xf numFmtId="0" fontId="19" fillId="0" borderId="0" xfId="42" applyFont="1" applyFill="1" applyBorder="1" applyAlignment="1">
      <alignment horizontal="center" wrapText="1"/>
    </xf>
    <xf numFmtId="164" fontId="41" fillId="0" borderId="12" xfId="0" quotePrefix="1" applyNumberFormat="1" applyFont="1" applyFill="1" applyBorder="1" applyAlignment="1">
      <alignment horizontal="center"/>
    </xf>
    <xf numFmtId="0" fontId="19" fillId="0" borderId="0" xfId="42" quotePrefix="1" applyFont="1" applyFill="1" applyBorder="1" applyAlignment="1">
      <alignment wrapText="1"/>
    </xf>
    <xf numFmtId="3" fontId="0" fillId="0" borderId="0" xfId="0" applyNumberFormat="1"/>
    <xf numFmtId="0" fontId="0" fillId="0" borderId="10" xfId="0" applyBorder="1" applyAlignment="1">
      <alignment horizontal="center" vertical="center" wrapText="1"/>
    </xf>
    <xf numFmtId="0" fontId="0" fillId="0" borderId="12" xfId="0" applyBorder="1"/>
    <xf numFmtId="3" fontId="0" fillId="0" borderId="12" xfId="0" applyNumberFormat="1" applyBorder="1"/>
    <xf numFmtId="3" fontId="39" fillId="64" borderId="12" xfId="0" applyNumberFormat="1" applyFont="1" applyFill="1" applyBorder="1"/>
    <xf numFmtId="3" fontId="39" fillId="64" borderId="0" xfId="0" applyNumberFormat="1" applyFont="1" applyFill="1"/>
    <xf numFmtId="0" fontId="50" fillId="55" borderId="0" xfId="0" applyFont="1" applyFill="1" applyAlignment="1">
      <alignment horizontal="center" vertical="center" wrapText="1"/>
    </xf>
    <xf numFmtId="0" fontId="39" fillId="0" borderId="0" xfId="0" applyFont="1" applyAlignment="1">
      <alignment horizontal="center" vertical="center" wrapText="1"/>
    </xf>
    <xf numFmtId="0" fontId="46" fillId="0" borderId="0" xfId="0" applyFont="1" applyAlignment="1">
      <alignment horizontal="center" vertical="center" wrapText="1"/>
    </xf>
    <xf numFmtId="0" fontId="41" fillId="0" borderId="0" xfId="0" applyFont="1" applyAlignment="1">
      <alignment horizontal="center" vertical="center" wrapText="1"/>
    </xf>
    <xf numFmtId="0" fontId="51" fillId="0" borderId="0" xfId="0" applyFont="1" applyAlignment="1">
      <alignment horizontal="center" vertical="center" wrapText="1"/>
    </xf>
    <xf numFmtId="3" fontId="39" fillId="0" borderId="0" xfId="0" applyNumberFormat="1" applyFont="1" applyBorder="1" applyAlignment="1"/>
    <xf numFmtId="0" fontId="39" fillId="0" borderId="0" xfId="0" applyFont="1" applyAlignment="1">
      <alignment horizontal="left" vertical="center" wrapText="1"/>
    </xf>
    <xf numFmtId="0" fontId="39" fillId="0" borderId="12" xfId="0" applyFont="1" applyBorder="1" applyAlignment="1">
      <alignment horizontal="left" vertical="center" wrapText="1"/>
    </xf>
    <xf numFmtId="0" fontId="20" fillId="0" borderId="12" xfId="42" applyFont="1" applyBorder="1" applyAlignment="1">
      <alignment horizontal="right" wrapText="1"/>
    </xf>
    <xf numFmtId="0" fontId="0" fillId="0" borderId="0" xfId="0" applyAlignment="1">
      <alignment horizontal="left" vertical="center" wrapText="1"/>
    </xf>
    <xf numFmtId="0" fontId="0" fillId="0" borderId="12" xfId="0" applyBorder="1" applyAlignment="1">
      <alignment horizontal="left" vertical="center" wrapText="1"/>
    </xf>
    <xf numFmtId="0" fontId="20" fillId="0" borderId="0" xfId="42" applyFont="1" applyBorder="1" applyAlignment="1">
      <alignment horizontal="right" wrapText="1"/>
    </xf>
    <xf numFmtId="0" fontId="39" fillId="0" borderId="0" xfId="0" applyFont="1" applyBorder="1" applyAlignment="1">
      <alignment horizontal="center" vertical="center" wrapText="1"/>
    </xf>
    <xf numFmtId="0" fontId="39" fillId="0" borderId="12" xfId="0" applyFont="1" applyBorder="1" applyAlignment="1">
      <alignment horizontal="center" vertical="center" wrapText="1"/>
    </xf>
    <xf numFmtId="0" fontId="19" fillId="0" borderId="12" xfId="42" applyFont="1" applyBorder="1" applyAlignment="1">
      <alignment horizontal="left" vertical="top" wrapText="1"/>
    </xf>
    <xf numFmtId="0" fontId="39" fillId="0" borderId="11" xfId="0" applyFont="1" applyBorder="1" applyAlignment="1">
      <alignment horizontal="center" vertical="center"/>
    </xf>
    <xf numFmtId="0" fontId="39" fillId="0" borderId="0" xfId="0" applyFont="1" applyBorder="1" applyAlignment="1">
      <alignment horizontal="center" vertical="center"/>
    </xf>
    <xf numFmtId="0" fontId="39" fillId="0" borderId="12" xfId="0" applyFont="1" applyBorder="1" applyAlignment="1">
      <alignment horizontal="center" vertical="center"/>
    </xf>
    <xf numFmtId="0" fontId="39" fillId="0" borderId="22" xfId="0" applyFont="1" applyBorder="1" applyAlignment="1">
      <alignment horizontal="left" vertical="center" wrapText="1"/>
    </xf>
    <xf numFmtId="0" fontId="56" fillId="56" borderId="26" xfId="0" applyFont="1" applyFill="1" applyBorder="1" applyAlignment="1">
      <alignment horizontal="center" vertical="center"/>
    </xf>
    <xf numFmtId="0" fontId="0" fillId="0" borderId="10" xfId="0" applyBorder="1"/>
    <xf numFmtId="0" fontId="0" fillId="0" borderId="27" xfId="0" applyBorder="1"/>
    <xf numFmtId="0" fontId="56" fillId="56" borderId="24" xfId="0" applyFont="1" applyFill="1" applyBorder="1" applyAlignment="1">
      <alignment horizontal="center" vertical="center"/>
    </xf>
    <xf numFmtId="0" fontId="56" fillId="56" borderId="24" xfId="0" applyFont="1" applyFill="1" applyBorder="1" applyAlignment="1">
      <alignment horizontal="center" vertical="center"/>
    </xf>
    <xf numFmtId="0" fontId="56" fillId="56" borderId="26" xfId="0" applyFont="1" applyFill="1" applyBorder="1" applyAlignment="1">
      <alignment horizontal="center" vertical="center" wrapText="1"/>
    </xf>
    <xf numFmtId="0" fontId="56" fillId="56" borderId="24" xfId="0" applyFont="1" applyFill="1" applyBorder="1" applyAlignment="1">
      <alignment horizontal="center" vertical="center" wrapText="1"/>
    </xf>
    <xf numFmtId="0" fontId="56" fillId="65" borderId="28" xfId="0" applyFont="1" applyFill="1" applyBorder="1" applyAlignment="1">
      <alignment horizontal="center" vertical="center"/>
    </xf>
    <xf numFmtId="0" fontId="57" fillId="0" borderId="26" xfId="0" applyFont="1" applyBorder="1" applyAlignment="1">
      <alignment horizontal="left" wrapText="1"/>
    </xf>
    <xf numFmtId="0" fontId="57" fillId="0" borderId="27" xfId="0" applyFont="1" applyBorder="1" applyAlignment="1">
      <alignment horizontal="left" wrapText="1"/>
    </xf>
    <xf numFmtId="0" fontId="59" fillId="0" borderId="26" xfId="0" applyFont="1" applyBorder="1" applyAlignment="1">
      <alignment wrapText="1"/>
    </xf>
    <xf numFmtId="0" fontId="59" fillId="66" borderId="24" xfId="0" applyFont="1" applyFill="1" applyBorder="1" applyAlignment="1">
      <alignment horizontal="center" vertical="center" wrapText="1"/>
    </xf>
    <xf numFmtId="0" fontId="56" fillId="65" borderId="29" xfId="0" applyFont="1" applyFill="1" applyBorder="1" applyAlignment="1">
      <alignment horizontal="center" vertical="center"/>
    </xf>
    <xf numFmtId="0" fontId="60" fillId="0" borderId="26" xfId="0" applyFont="1" applyBorder="1" applyAlignment="1">
      <alignment wrapText="1"/>
    </xf>
    <xf numFmtId="14" fontId="59" fillId="66" borderId="24" xfId="0" applyNumberFormat="1" applyFont="1" applyFill="1" applyBorder="1" applyAlignment="1">
      <alignment horizontal="center" vertical="center" wrapText="1"/>
    </xf>
    <xf numFmtId="0" fontId="59" fillId="0" borderId="24" xfId="0" applyFont="1" applyBorder="1" applyAlignment="1">
      <alignment wrapText="1"/>
    </xf>
    <xf numFmtId="0" fontId="57" fillId="57" borderId="24" xfId="0" applyFont="1" applyFill="1" applyBorder="1" applyAlignment="1">
      <alignment horizontal="left" wrapText="1"/>
    </xf>
    <xf numFmtId="0" fontId="58" fillId="0" borderId="27" xfId="0" applyFont="1" applyBorder="1" applyAlignment="1">
      <alignment horizontal="left" wrapText="1"/>
    </xf>
    <xf numFmtId="0" fontId="56" fillId="65" borderId="24" xfId="0" applyFont="1" applyFill="1" applyBorder="1" applyAlignment="1">
      <alignment horizontal="center" vertical="center"/>
    </xf>
    <xf numFmtId="0" fontId="57" fillId="0" borderId="24" xfId="0" applyFont="1" applyBorder="1" applyAlignment="1">
      <alignment horizontal="left" wrapText="1"/>
    </xf>
    <xf numFmtId="0" fontId="56" fillId="65" borderId="24" xfId="0" applyFont="1" applyFill="1" applyBorder="1" applyAlignment="1">
      <alignment horizontal="center" vertical="center"/>
    </xf>
    <xf numFmtId="0" fontId="59" fillId="0" borderId="24" xfId="0" applyFont="1" applyBorder="1" applyAlignment="1" applyProtection="1">
      <alignment wrapText="1"/>
    </xf>
    <xf numFmtId="0" fontId="56" fillId="65" borderId="30" xfId="0" applyFont="1" applyFill="1" applyBorder="1" applyAlignment="1">
      <alignment horizontal="center" vertical="center"/>
    </xf>
    <xf numFmtId="0" fontId="58" fillId="0" borderId="24" xfId="0" applyFont="1" applyBorder="1" applyAlignment="1">
      <alignment horizontal="left" wrapText="1"/>
    </xf>
    <xf numFmtId="0" fontId="0" fillId="57" borderId="26" xfId="0" applyFill="1" applyBorder="1" applyAlignment="1">
      <alignment horizontal="left" vertical="center" wrapText="1"/>
    </xf>
    <xf numFmtId="0" fontId="0" fillId="57" borderId="10" xfId="0" applyFill="1" applyBorder="1"/>
    <xf numFmtId="0" fontId="59" fillId="57" borderId="24" xfId="0" applyFont="1" applyFill="1" applyBorder="1" applyAlignment="1">
      <alignment wrapText="1"/>
    </xf>
    <xf numFmtId="0" fontId="59" fillId="57" borderId="27" xfId="0" applyFont="1" applyFill="1" applyBorder="1" applyAlignment="1">
      <alignment wrapText="1"/>
    </xf>
    <xf numFmtId="0" fontId="0" fillId="57" borderId="28" xfId="0" applyFill="1" applyBorder="1" applyAlignment="1">
      <alignment horizontal="center" vertical="center" wrapText="1"/>
    </xf>
    <xf numFmtId="0" fontId="58" fillId="66" borderId="24" xfId="0" applyFont="1" applyFill="1" applyBorder="1" applyAlignment="1">
      <alignment wrapText="1"/>
    </xf>
    <xf numFmtId="0" fontId="60" fillId="0" borderId="31" xfId="0" applyFont="1" applyBorder="1" applyAlignment="1">
      <alignment wrapText="1"/>
    </xf>
    <xf numFmtId="0" fontId="0" fillId="57" borderId="30" xfId="0" applyFill="1" applyBorder="1" applyAlignment="1">
      <alignment horizontal="center" vertical="center" wrapText="1"/>
    </xf>
    <xf numFmtId="0" fontId="58" fillId="0" borderId="24" xfId="0" applyFont="1" applyBorder="1" applyAlignment="1">
      <alignment wrapText="1"/>
    </xf>
    <xf numFmtId="0" fontId="58" fillId="57" borderId="24" xfId="0" applyFont="1" applyFill="1" applyBorder="1" applyAlignment="1">
      <alignment wrapText="1"/>
    </xf>
    <xf numFmtId="0" fontId="59" fillId="57" borderId="26" xfId="0" applyFont="1" applyFill="1" applyBorder="1" applyAlignment="1">
      <alignment wrapText="1"/>
    </xf>
    <xf numFmtId="0" fontId="0" fillId="57" borderId="29" xfId="0" applyFill="1" applyBorder="1" applyAlignment="1">
      <alignment horizontal="center" vertical="center" wrapText="1"/>
    </xf>
    <xf numFmtId="0" fontId="56" fillId="57" borderId="24" xfId="0" applyFont="1" applyFill="1" applyBorder="1" applyAlignment="1">
      <alignment horizontal="center" vertical="center"/>
    </xf>
    <xf numFmtId="0" fontId="58" fillId="0" borderId="24" xfId="0" applyFont="1" applyBorder="1" applyAlignment="1">
      <alignment wrapText="1"/>
    </xf>
    <xf numFmtId="0" fontId="57" fillId="0" borderId="24" xfId="0" applyFont="1" applyBorder="1" applyAlignment="1">
      <alignment wrapText="1"/>
    </xf>
    <xf numFmtId="14" fontId="59" fillId="0" borderId="24" xfId="0" applyNumberFormat="1" applyFont="1" applyBorder="1" applyAlignment="1">
      <alignment wrapText="1"/>
    </xf>
    <xf numFmtId="0" fontId="56" fillId="65" borderId="24" xfId="0" applyFont="1" applyFill="1" applyBorder="1" applyAlignment="1">
      <alignment horizontal="center" vertical="center" wrapText="1"/>
    </xf>
    <xf numFmtId="0" fontId="58" fillId="0" borderId="26" xfId="0" applyFont="1" applyBorder="1" applyAlignment="1">
      <alignment vertical="top" wrapText="1"/>
    </xf>
    <xf numFmtId="0" fontId="58" fillId="0" borderId="27" xfId="0" applyFont="1" applyBorder="1" applyAlignment="1">
      <alignment vertical="top" wrapText="1"/>
    </xf>
    <xf numFmtId="0" fontId="59" fillId="0" borderId="26" xfId="0" applyFont="1" applyBorder="1" applyAlignment="1">
      <alignment horizontal="left" vertical="top" wrapText="1"/>
    </xf>
    <xf numFmtId="0" fontId="0" fillId="0" borderId="24" xfId="0" applyBorder="1" applyAlignment="1">
      <alignment wrapText="1"/>
    </xf>
    <xf numFmtId="0" fontId="56" fillId="0" borderId="0" xfId="0" applyFont="1" applyFill="1" applyBorder="1" applyAlignment="1">
      <alignment vertical="center" wrapText="1"/>
    </xf>
    <xf numFmtId="0" fontId="56" fillId="0" borderId="0" xfId="0" applyFont="1" applyFill="1" applyBorder="1" applyAlignment="1">
      <alignment horizontal="center" vertical="center" wrapText="1"/>
    </xf>
    <xf numFmtId="0" fontId="57" fillId="0" borderId="0" xfId="0" applyFont="1" applyBorder="1" applyAlignment="1">
      <alignment wrapText="1"/>
    </xf>
    <xf numFmtId="0" fontId="0" fillId="0" borderId="0" xfId="0" applyFill="1" applyBorder="1"/>
  </cellXfs>
  <cellStyles count="105">
    <cellStyle name="20% - Accent1" xfId="19" builtinId="30" customBuiltin="1"/>
    <cellStyle name="20% - Accent1 2" xfId="43"/>
    <cellStyle name="20% - Accent2" xfId="23" builtinId="34" customBuiltin="1"/>
    <cellStyle name="20% - Accent2 2" xfId="44"/>
    <cellStyle name="20% - Accent3" xfId="27" builtinId="38" customBuiltin="1"/>
    <cellStyle name="20% - Accent3 2" xfId="45"/>
    <cellStyle name="20% - Accent4" xfId="31" builtinId="42" customBuiltin="1"/>
    <cellStyle name="20% - Accent4 2" xfId="46"/>
    <cellStyle name="20% - Accent5" xfId="35" builtinId="46" customBuiltin="1"/>
    <cellStyle name="20% - Accent5 2" xfId="47"/>
    <cellStyle name="20% - Accent6" xfId="39" builtinId="50" customBuiltin="1"/>
    <cellStyle name="20% - Accent6 2" xfId="48"/>
    <cellStyle name="40% - Accent1" xfId="20" builtinId="31" customBuiltin="1"/>
    <cellStyle name="40% - Accent1 2" xfId="49"/>
    <cellStyle name="40% - Accent2" xfId="24" builtinId="35" customBuiltin="1"/>
    <cellStyle name="40% - Accent2 2" xfId="50"/>
    <cellStyle name="40% - Accent3" xfId="28" builtinId="39" customBuiltin="1"/>
    <cellStyle name="40% - Accent3 2" xfId="51"/>
    <cellStyle name="40% - Accent4" xfId="32" builtinId="43" customBuiltin="1"/>
    <cellStyle name="40% - Accent4 2" xfId="52"/>
    <cellStyle name="40% - Accent5" xfId="36" builtinId="47" customBuiltin="1"/>
    <cellStyle name="40% - Accent5 2" xfId="53"/>
    <cellStyle name="40% - Accent6" xfId="40" builtinId="51" customBuiltin="1"/>
    <cellStyle name="40% - Accent6 2" xfId="54"/>
    <cellStyle name="60% - Accent1" xfId="21" builtinId="32" customBuiltin="1"/>
    <cellStyle name="60% - Accent1 2" xfId="55"/>
    <cellStyle name="60% - Accent2" xfId="25" builtinId="36" customBuiltin="1"/>
    <cellStyle name="60% - Accent2 2" xfId="56"/>
    <cellStyle name="60% - Accent3" xfId="29" builtinId="40" customBuiltin="1"/>
    <cellStyle name="60% - Accent3 2" xfId="57"/>
    <cellStyle name="60% - Accent4" xfId="33" builtinId="44" customBuiltin="1"/>
    <cellStyle name="60% - Accent4 2" xfId="58"/>
    <cellStyle name="60% - Accent5" xfId="37" builtinId="48" customBuiltin="1"/>
    <cellStyle name="60% - Accent5 2" xfId="59"/>
    <cellStyle name="60% - Accent6" xfId="41" builtinId="52" customBuiltin="1"/>
    <cellStyle name="60% - Accent6 2" xfId="60"/>
    <cellStyle name="Accent1" xfId="18" builtinId="29" customBuiltin="1"/>
    <cellStyle name="Accent1 2" xfId="61"/>
    <cellStyle name="Accent2" xfId="22" builtinId="33" customBuiltin="1"/>
    <cellStyle name="Accent2 2" xfId="62"/>
    <cellStyle name="Accent3" xfId="26" builtinId="37" customBuiltin="1"/>
    <cellStyle name="Accent3 2" xfId="63"/>
    <cellStyle name="Accent4" xfId="30" builtinId="41" customBuiltin="1"/>
    <cellStyle name="Accent4 2" xfId="64"/>
    <cellStyle name="Accent5" xfId="34" builtinId="45" customBuiltin="1"/>
    <cellStyle name="Accent5 2" xfId="65"/>
    <cellStyle name="Accent6" xfId="38" builtinId="49" customBuiltin="1"/>
    <cellStyle name="Accent6 2" xfId="66"/>
    <cellStyle name="Bad" xfId="7" builtinId="27" customBuiltin="1"/>
    <cellStyle name="Bad 2" xfId="67"/>
    <cellStyle name="Calculation" xfId="11" builtinId="22" customBuiltin="1"/>
    <cellStyle name="Calculation 2" xfId="68"/>
    <cellStyle name="Check Cell" xfId="13" builtinId="23" customBuiltin="1"/>
    <cellStyle name="Check Cell 2" xfId="69"/>
    <cellStyle name="Comma0" xfId="90"/>
    <cellStyle name="Currency0" xfId="89"/>
    <cellStyle name="Date" xfId="87"/>
    <cellStyle name="Explanatory Text" xfId="16" builtinId="53" customBuiltin="1"/>
    <cellStyle name="Explanatory Text 2" xfId="70"/>
    <cellStyle name="Fixed" xfId="88"/>
    <cellStyle name="Good" xfId="6" builtinId="26" customBuiltin="1"/>
    <cellStyle name="Good 2" xfId="71"/>
    <cellStyle name="Heading 1" xfId="2" builtinId="16" customBuiltin="1"/>
    <cellStyle name="Heading 1 2" xfId="72"/>
    <cellStyle name="Heading 2" xfId="3" builtinId="17" customBuiltin="1"/>
    <cellStyle name="Heading 2 2" xfId="73"/>
    <cellStyle name="Heading 3" xfId="4" builtinId="18" customBuiltin="1"/>
    <cellStyle name="Heading 3 2" xfId="74"/>
    <cellStyle name="Heading 4" xfId="5" builtinId="19" customBuiltin="1"/>
    <cellStyle name="Heading 4 2" xfId="75"/>
    <cellStyle name="Input" xfId="9" builtinId="20" customBuiltin="1"/>
    <cellStyle name="Input 2" xfId="76"/>
    <cellStyle name="Linked Cell" xfId="12" builtinId="24" customBuiltin="1"/>
    <cellStyle name="Linked Cell 2" xfId="77"/>
    <cellStyle name="Neutral" xfId="8" builtinId="28" customBuiltin="1"/>
    <cellStyle name="Neutral 2" xfId="78"/>
    <cellStyle name="Normal" xfId="0" builtinId="0"/>
    <cellStyle name="Normal 2" xfId="79"/>
    <cellStyle name="Normal 2 2" xfId="93"/>
    <cellStyle name="Normal 2 3" xfId="94"/>
    <cellStyle name="Normal 3" xfId="80"/>
    <cellStyle name="Normal 3 2" xfId="95"/>
    <cellStyle name="Normal 3 3" xfId="96"/>
    <cellStyle name="Normal 4" xfId="91"/>
    <cellStyle name="Normal 4 2" xfId="92"/>
    <cellStyle name="Normal 5" xfId="97"/>
    <cellStyle name="Normal 5 2" xfId="98"/>
    <cellStyle name="Normal 6" xfId="99"/>
    <cellStyle name="Normal 6 2" xfId="100"/>
    <cellStyle name="Normal 7" xfId="101"/>
    <cellStyle name="Normal 7 2" xfId="102"/>
    <cellStyle name="Normal 8" xfId="103"/>
    <cellStyle name="Normal_Redd densities by area" xfId="42"/>
    <cellStyle name="Normal_Sheet1" xfId="104"/>
    <cellStyle name="Note" xfId="15" builtinId="10" customBuiltin="1"/>
    <cellStyle name="Note 2" xfId="81"/>
    <cellStyle name="Note 3" xfId="82"/>
    <cellStyle name="Output" xfId="10" builtinId="21" customBuiltin="1"/>
    <cellStyle name="Output 2" xfId="83"/>
    <cellStyle name="Title" xfId="1" builtinId="15" customBuiltin="1"/>
    <cellStyle name="Title 2" xfId="84"/>
    <cellStyle name="Total" xfId="17" builtinId="25" customBuiltin="1"/>
    <cellStyle name="Total 2" xfId="85"/>
    <cellStyle name="Warning Text" xfId="14" builtinId="11" customBuiltin="1"/>
    <cellStyle name="Warning Text 2" xfId="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0"/>
  <sheetViews>
    <sheetView tabSelected="1" workbookViewId="0">
      <selection sqref="A1:F2"/>
    </sheetView>
  </sheetViews>
  <sheetFormatPr defaultRowHeight="21" customHeight="1" x14ac:dyDescent="0.25"/>
  <cols>
    <col min="1" max="1" width="31.140625" customWidth="1"/>
    <col min="2" max="2" width="9.5703125" customWidth="1"/>
    <col min="3" max="3" width="12.85546875" customWidth="1"/>
    <col min="4" max="4" width="14.7109375" bestFit="1" customWidth="1"/>
    <col min="5" max="6" width="12.85546875" customWidth="1"/>
    <col min="7" max="7" width="12.85546875" style="50" customWidth="1"/>
    <col min="9" max="9" width="36.5703125" customWidth="1"/>
    <col min="12" max="12" width="36.5703125" bestFit="1" customWidth="1"/>
    <col min="15" max="15" width="38.7109375" bestFit="1" customWidth="1"/>
    <col min="18" max="18" width="48.42578125" bestFit="1" customWidth="1"/>
  </cols>
  <sheetData>
    <row r="1" spans="1:19" s="53" customFormat="1" ht="33" customHeight="1" x14ac:dyDescent="0.25">
      <c r="A1" s="139" t="s">
        <v>253</v>
      </c>
      <c r="B1" s="139"/>
      <c r="C1" s="139"/>
      <c r="D1" s="139"/>
      <c r="E1" s="139"/>
      <c r="F1" s="139"/>
      <c r="G1" s="134"/>
      <c r="I1" s="135" t="s">
        <v>100</v>
      </c>
      <c r="J1" s="133" t="s">
        <v>101</v>
      </c>
      <c r="K1" s="136"/>
      <c r="L1" s="135" t="s">
        <v>102</v>
      </c>
      <c r="M1" s="133" t="s">
        <v>101</v>
      </c>
      <c r="N1" s="136"/>
      <c r="O1" s="135" t="s">
        <v>103</v>
      </c>
      <c r="P1" s="133" t="s">
        <v>101</v>
      </c>
      <c r="Q1" s="136"/>
      <c r="R1" s="137" t="s">
        <v>104</v>
      </c>
      <c r="S1" s="133" t="s">
        <v>101</v>
      </c>
    </row>
    <row r="2" spans="1:19" ht="21" customHeight="1" x14ac:dyDescent="0.25">
      <c r="A2" s="140"/>
      <c r="B2" s="140"/>
      <c r="C2" s="140"/>
      <c r="D2" s="140"/>
      <c r="E2" s="140"/>
      <c r="F2" s="140"/>
      <c r="G2" s="123"/>
      <c r="I2" s="5"/>
      <c r="J2" s="72"/>
      <c r="K2" s="5"/>
      <c r="L2" s="5"/>
      <c r="M2" s="72"/>
      <c r="N2" s="5"/>
      <c r="O2" s="101"/>
      <c r="P2" s="88"/>
      <c r="Q2" s="5"/>
      <c r="R2" s="5"/>
      <c r="S2" s="72"/>
    </row>
    <row r="3" spans="1:19" ht="81.75" customHeight="1" x14ac:dyDescent="0.25">
      <c r="A3" s="34" t="s">
        <v>46</v>
      </c>
      <c r="B3" s="35" t="s">
        <v>11</v>
      </c>
      <c r="C3" s="35" t="s">
        <v>19</v>
      </c>
      <c r="D3" s="35" t="s">
        <v>252</v>
      </c>
      <c r="E3" s="35" t="s">
        <v>44</v>
      </c>
      <c r="F3" s="35" t="s">
        <v>45</v>
      </c>
      <c r="G3" s="35" t="s">
        <v>263</v>
      </c>
      <c r="I3" s="67" t="s">
        <v>96</v>
      </c>
      <c r="J3" s="72"/>
      <c r="K3" s="5"/>
      <c r="L3" s="67" t="s">
        <v>8</v>
      </c>
      <c r="M3" s="72"/>
      <c r="N3" s="5"/>
      <c r="O3" s="102" t="s">
        <v>9</v>
      </c>
      <c r="P3" s="72"/>
      <c r="Q3" s="5"/>
      <c r="R3" s="111" t="s">
        <v>4</v>
      </c>
      <c r="S3" s="72"/>
    </row>
    <row r="4" spans="1:19" ht="16.5" customHeight="1" x14ac:dyDescent="0.25">
      <c r="A4" s="15" t="s">
        <v>6</v>
      </c>
      <c r="B4" s="16"/>
      <c r="C4" s="9"/>
      <c r="D4" s="26"/>
      <c r="I4" s="68" t="s">
        <v>105</v>
      </c>
      <c r="J4" s="79">
        <v>10</v>
      </c>
      <c r="K4" s="5"/>
      <c r="L4" s="68" t="s">
        <v>106</v>
      </c>
      <c r="M4" s="80">
        <v>5</v>
      </c>
      <c r="N4" s="5"/>
      <c r="O4" s="68" t="s">
        <v>107</v>
      </c>
      <c r="P4" s="80">
        <v>1107</v>
      </c>
      <c r="Q4" s="5"/>
      <c r="R4" s="68" t="s">
        <v>108</v>
      </c>
      <c r="S4" s="80">
        <v>0</v>
      </c>
    </row>
    <row r="5" spans="1:19" ht="16.5" customHeight="1" x14ac:dyDescent="0.25">
      <c r="A5" s="17" t="s">
        <v>75</v>
      </c>
      <c r="B5" s="61">
        <v>415</v>
      </c>
      <c r="C5" s="62">
        <f>B5*2.5</f>
        <v>1037.5</v>
      </c>
      <c r="D5" s="33">
        <f>pHOS!H6</f>
        <v>0.59299099099099106</v>
      </c>
      <c r="E5" s="62">
        <f>C5*D5</f>
        <v>615.22815315315324</v>
      </c>
      <c r="F5" s="62">
        <f>C5*(1-D5)</f>
        <v>422.27184684684676</v>
      </c>
      <c r="G5" s="62"/>
      <c r="I5" s="68" t="s">
        <v>109</v>
      </c>
      <c r="J5" s="79">
        <v>13</v>
      </c>
      <c r="K5" s="5"/>
      <c r="L5" s="68" t="s">
        <v>110</v>
      </c>
      <c r="M5" s="82">
        <v>0</v>
      </c>
      <c r="N5" s="5"/>
      <c r="O5" s="68" t="s">
        <v>111</v>
      </c>
      <c r="P5" s="80">
        <v>85</v>
      </c>
      <c r="Q5" s="5"/>
      <c r="R5" s="68" t="s">
        <v>112</v>
      </c>
      <c r="S5" s="80">
        <v>0</v>
      </c>
    </row>
    <row r="6" spans="1:19" ht="16.5" customHeight="1" x14ac:dyDescent="0.25">
      <c r="A6" s="19" t="s">
        <v>12</v>
      </c>
      <c r="B6" s="63">
        <v>481</v>
      </c>
      <c r="C6" s="131">
        <f>B6*2.5</f>
        <v>1202.5</v>
      </c>
      <c r="D6" s="10">
        <v>1</v>
      </c>
      <c r="E6" s="36">
        <f>C6*D6</f>
        <v>1202.5</v>
      </c>
      <c r="F6" s="36">
        <f>C6*(1-D6)</f>
        <v>0</v>
      </c>
      <c r="G6" s="131">
        <f>SUM('2015 Outplants'!J7:J9)*(1-'2016 PSM'!D6)</f>
        <v>1173.9655172413793</v>
      </c>
      <c r="I6" s="68" t="s">
        <v>113</v>
      </c>
      <c r="J6" s="79">
        <v>15</v>
      </c>
      <c r="K6" s="5"/>
      <c r="L6" s="68" t="s">
        <v>114</v>
      </c>
      <c r="M6" s="80">
        <v>9</v>
      </c>
      <c r="N6" s="5"/>
      <c r="O6" s="68" t="s">
        <v>115</v>
      </c>
      <c r="P6" s="80">
        <v>23</v>
      </c>
      <c r="Q6" s="5"/>
      <c r="R6" s="68" t="s">
        <v>116</v>
      </c>
      <c r="S6" s="80">
        <v>0</v>
      </c>
    </row>
    <row r="7" spans="1:19" s="32" customFormat="1" ht="16.5" customHeight="1" x14ac:dyDescent="0.25">
      <c r="A7" s="17"/>
      <c r="B7" s="61"/>
      <c r="C7" s="62"/>
      <c r="D7" s="33"/>
      <c r="E7" s="62"/>
      <c r="F7" s="62"/>
      <c r="G7" s="62"/>
      <c r="I7" s="68" t="s">
        <v>117</v>
      </c>
      <c r="J7" s="79">
        <v>53</v>
      </c>
      <c r="K7" s="5"/>
      <c r="L7" s="68" t="s">
        <v>118</v>
      </c>
      <c r="M7" s="80">
        <v>10</v>
      </c>
      <c r="N7" s="5"/>
      <c r="O7" s="68" t="s">
        <v>119</v>
      </c>
      <c r="P7" s="80" t="s">
        <v>120</v>
      </c>
      <c r="Q7" s="5"/>
      <c r="R7" s="68" t="s">
        <v>121</v>
      </c>
      <c r="S7" s="80">
        <v>0</v>
      </c>
    </row>
    <row r="8" spans="1:19" ht="16.5" customHeight="1" x14ac:dyDescent="0.25">
      <c r="A8" s="15" t="s">
        <v>9</v>
      </c>
      <c r="B8" s="61"/>
      <c r="C8" s="62"/>
      <c r="D8" s="33"/>
      <c r="E8" s="62"/>
      <c r="F8" s="62"/>
      <c r="G8" s="62"/>
      <c r="I8" s="68" t="s">
        <v>122</v>
      </c>
      <c r="J8" s="80">
        <v>32</v>
      </c>
      <c r="K8" s="5"/>
      <c r="L8" s="68" t="s">
        <v>123</v>
      </c>
      <c r="M8" s="80">
        <v>2</v>
      </c>
      <c r="N8" s="5"/>
      <c r="O8" s="68" t="s">
        <v>124</v>
      </c>
      <c r="P8" s="80" t="s">
        <v>120</v>
      </c>
      <c r="Q8" s="5"/>
      <c r="R8" s="68" t="s">
        <v>125</v>
      </c>
      <c r="S8" s="80">
        <v>0</v>
      </c>
    </row>
    <row r="9" spans="1:19" ht="16.5" customHeight="1" x14ac:dyDescent="0.25">
      <c r="A9" s="17" t="s">
        <v>74</v>
      </c>
      <c r="B9" s="64">
        <v>1215</v>
      </c>
      <c r="C9" s="62">
        <f>B9*2.5</f>
        <v>3037.5</v>
      </c>
      <c r="D9" s="33">
        <f>pHOS!H11</f>
        <v>0.90165034965034963</v>
      </c>
      <c r="E9" s="62">
        <f>C9*D9</f>
        <v>2738.762937062937</v>
      </c>
      <c r="F9" s="62">
        <f>C9*(1-D9)</f>
        <v>298.737062937063</v>
      </c>
      <c r="G9" s="62"/>
      <c r="I9" s="68" t="s">
        <v>126</v>
      </c>
      <c r="J9" s="80">
        <v>176</v>
      </c>
      <c r="K9" s="5"/>
      <c r="L9" s="68" t="s">
        <v>127</v>
      </c>
      <c r="M9" s="80">
        <v>0</v>
      </c>
      <c r="N9" s="5"/>
      <c r="O9" s="68" t="s">
        <v>128</v>
      </c>
      <c r="P9" s="80" t="s">
        <v>120</v>
      </c>
      <c r="Q9" s="5"/>
      <c r="R9" s="5"/>
      <c r="S9" s="115">
        <v>0</v>
      </c>
    </row>
    <row r="10" spans="1:19" ht="16.5" customHeight="1" thickBot="1" x14ac:dyDescent="0.3">
      <c r="A10" s="19" t="s">
        <v>13</v>
      </c>
      <c r="B10" s="63">
        <v>162</v>
      </c>
      <c r="C10" s="131">
        <f>B10*2.5</f>
        <v>405</v>
      </c>
      <c r="D10" s="10">
        <f>pHOS!H12</f>
        <v>0.26064516129032256</v>
      </c>
      <c r="E10" s="36">
        <f>C10*D10</f>
        <v>105.56129032258063</v>
      </c>
      <c r="F10" s="36">
        <f>C10*(1-D10)</f>
        <v>299.43870967741935</v>
      </c>
      <c r="G10" s="131">
        <f>'2015 Outplants'!J12*(1-'2016 PSM'!D11)</f>
        <v>222.51063829787233</v>
      </c>
      <c r="I10" s="68" t="s">
        <v>129</v>
      </c>
      <c r="J10" s="80">
        <v>42</v>
      </c>
      <c r="K10" s="5"/>
      <c r="L10" s="68" t="s">
        <v>130</v>
      </c>
      <c r="M10" s="72">
        <v>0</v>
      </c>
      <c r="N10" s="5"/>
      <c r="O10" s="68" t="s">
        <v>131</v>
      </c>
      <c r="P10" s="80" t="s">
        <v>120</v>
      </c>
      <c r="Q10" s="5"/>
      <c r="R10" s="111" t="s">
        <v>98</v>
      </c>
      <c r="S10" s="80"/>
    </row>
    <row r="11" spans="1:19" s="32" customFormat="1" ht="16.5" customHeight="1" thickBot="1" x14ac:dyDescent="0.3">
      <c r="A11" s="17"/>
      <c r="B11" s="64"/>
      <c r="C11" s="62"/>
      <c r="D11" s="33"/>
      <c r="E11" s="62"/>
      <c r="F11" s="62"/>
      <c r="G11" s="62"/>
      <c r="I11" s="5"/>
      <c r="J11" s="81">
        <f>SUM(J4:J10)</f>
        <v>341</v>
      </c>
      <c r="K11" s="5"/>
      <c r="L11" s="5"/>
      <c r="M11" s="97">
        <f>SUM(M4:M10)</f>
        <v>26</v>
      </c>
      <c r="N11" s="5"/>
      <c r="O11" s="103" t="s">
        <v>132</v>
      </c>
      <c r="P11" s="106">
        <f>SUM(P4:P6)</f>
        <v>1215</v>
      </c>
      <c r="Q11" s="5"/>
      <c r="R11" s="68" t="s">
        <v>133</v>
      </c>
      <c r="S11" s="80">
        <v>6</v>
      </c>
    </row>
    <row r="12" spans="1:19" ht="16.5" customHeight="1" thickBot="1" x14ac:dyDescent="0.3">
      <c r="A12" s="15" t="s">
        <v>0</v>
      </c>
      <c r="B12" s="61"/>
      <c r="C12" s="62"/>
      <c r="D12" s="33"/>
      <c r="E12" s="62"/>
      <c r="F12" s="62"/>
      <c r="G12" s="62"/>
      <c r="I12" s="67" t="s">
        <v>97</v>
      </c>
      <c r="J12" s="72"/>
      <c r="K12" s="5"/>
      <c r="L12" s="67" t="s">
        <v>6</v>
      </c>
      <c r="M12" s="72"/>
      <c r="N12" s="5"/>
      <c r="O12" s="5"/>
      <c r="P12" s="72"/>
      <c r="Q12" s="5"/>
      <c r="R12" s="68" t="s">
        <v>134</v>
      </c>
      <c r="S12" s="80">
        <v>1</v>
      </c>
    </row>
    <row r="13" spans="1:19" ht="16.5" customHeight="1" thickBot="1" x14ac:dyDescent="0.3">
      <c r="A13" s="17" t="s">
        <v>14</v>
      </c>
      <c r="B13" s="61">
        <v>180</v>
      </c>
      <c r="C13" s="62">
        <f>B13*2.5</f>
        <v>450</v>
      </c>
      <c r="D13" s="33">
        <f>pHOS!H16</f>
        <v>0.87300000000000011</v>
      </c>
      <c r="E13" s="62">
        <f>C13*D13</f>
        <v>392.85</v>
      </c>
      <c r="F13" s="62">
        <f>C13*(1-D13)</f>
        <v>57.149999999999949</v>
      </c>
      <c r="G13" s="62"/>
      <c r="I13" s="68" t="s">
        <v>135</v>
      </c>
      <c r="J13" s="80">
        <v>14</v>
      </c>
      <c r="K13" s="5"/>
      <c r="L13" s="90" t="s">
        <v>136</v>
      </c>
      <c r="M13" s="72">
        <v>90</v>
      </c>
      <c r="N13" s="5"/>
      <c r="O13" s="104" t="s">
        <v>10</v>
      </c>
      <c r="P13" s="72"/>
      <c r="Q13" s="5"/>
      <c r="R13" s="5"/>
      <c r="S13" s="116">
        <f>SUM(S11:S12)</f>
        <v>7</v>
      </c>
    </row>
    <row r="14" spans="1:19" ht="16.5" customHeight="1" x14ac:dyDescent="0.25">
      <c r="A14" s="17" t="s">
        <v>73</v>
      </c>
      <c r="B14" s="65">
        <v>1117</v>
      </c>
      <c r="C14" s="62">
        <f>B14*2.5</f>
        <v>2792.5</v>
      </c>
      <c r="D14" s="33">
        <f>pHOS!H17</f>
        <v>0.32267224080267559</v>
      </c>
      <c r="E14" s="62">
        <f>C14*D14</f>
        <v>901.06223244147156</v>
      </c>
      <c r="F14" s="62">
        <f>C14*(1-D14)</f>
        <v>1891.4377675585283</v>
      </c>
      <c r="G14" s="62"/>
      <c r="I14" s="68" t="s">
        <v>137</v>
      </c>
      <c r="J14" s="80">
        <v>10</v>
      </c>
      <c r="K14" s="5"/>
      <c r="L14" s="68" t="s">
        <v>138</v>
      </c>
      <c r="M14" s="80">
        <v>30</v>
      </c>
      <c r="N14" s="5"/>
      <c r="O14" s="75" t="s">
        <v>139</v>
      </c>
      <c r="P14" s="79">
        <v>42</v>
      </c>
      <c r="Q14" s="5"/>
      <c r="R14" s="5"/>
      <c r="S14" s="72"/>
    </row>
    <row r="15" spans="1:19" ht="16.5" customHeight="1" x14ac:dyDescent="0.25">
      <c r="A15" s="19" t="s">
        <v>15</v>
      </c>
      <c r="B15" s="63">
        <v>293</v>
      </c>
      <c r="C15" s="131">
        <f>B15*2.5</f>
        <v>732.5</v>
      </c>
      <c r="D15" s="10">
        <f>pHOS!H18</f>
        <v>0.91304347826086951</v>
      </c>
      <c r="E15" s="36">
        <f>C15*D15</f>
        <v>668.80434782608688</v>
      </c>
      <c r="F15" s="36">
        <f>C15*(1-D15)</f>
        <v>63.695652173913082</v>
      </c>
      <c r="G15" s="131">
        <f>SUM('2015 Outplants'!J15:J16)*(1-'2016 PSM'!D17)</f>
        <v>719</v>
      </c>
      <c r="I15" s="68" t="s">
        <v>140</v>
      </c>
      <c r="J15" s="80">
        <v>11</v>
      </c>
      <c r="K15" s="5"/>
      <c r="L15" s="68" t="s">
        <v>141</v>
      </c>
      <c r="M15" s="80">
        <v>156</v>
      </c>
      <c r="N15" s="5"/>
      <c r="O15" s="75" t="s">
        <v>142</v>
      </c>
      <c r="P15" s="79">
        <v>21</v>
      </c>
      <c r="Q15" s="5"/>
      <c r="R15" s="110" t="s">
        <v>143</v>
      </c>
      <c r="S15" s="117">
        <f>SUM(S9,S13)</f>
        <v>7</v>
      </c>
    </row>
    <row r="16" spans="1:19" s="32" customFormat="1" ht="16.5" customHeight="1" x14ac:dyDescent="0.25">
      <c r="A16" s="17"/>
      <c r="B16" s="65"/>
      <c r="C16" s="62"/>
      <c r="D16" s="33"/>
      <c r="E16" s="62"/>
      <c r="F16" s="62"/>
      <c r="G16" s="62"/>
      <c r="I16" s="68" t="s">
        <v>144</v>
      </c>
      <c r="J16" s="80">
        <v>2</v>
      </c>
      <c r="K16" s="5"/>
      <c r="L16" s="68" t="s">
        <v>145</v>
      </c>
      <c r="M16" s="80">
        <v>45</v>
      </c>
      <c r="N16" s="5"/>
      <c r="O16" s="75" t="s">
        <v>146</v>
      </c>
      <c r="P16" s="79">
        <v>35</v>
      </c>
      <c r="Q16" s="5"/>
      <c r="R16" s="5"/>
      <c r="S16" s="72"/>
    </row>
    <row r="17" spans="1:19" ht="16.5" customHeight="1" x14ac:dyDescent="0.25">
      <c r="A17" s="15" t="s">
        <v>16</v>
      </c>
      <c r="B17" s="61"/>
      <c r="C17" s="62"/>
      <c r="D17" s="33"/>
      <c r="E17" s="62"/>
      <c r="F17" s="62"/>
      <c r="G17" s="62"/>
      <c r="I17" s="5"/>
      <c r="J17" s="81">
        <f>SUM(J13:J16)</f>
        <v>37</v>
      </c>
      <c r="K17" s="5"/>
      <c r="L17" s="68" t="s">
        <v>147</v>
      </c>
      <c r="M17" s="80">
        <v>44</v>
      </c>
      <c r="N17" s="5"/>
      <c r="O17" s="75" t="s">
        <v>148</v>
      </c>
      <c r="P17" s="79">
        <v>3</v>
      </c>
      <c r="Q17" s="5"/>
      <c r="R17" s="111" t="s">
        <v>3</v>
      </c>
      <c r="S17" s="79"/>
    </row>
    <row r="18" spans="1:19" ht="16.5" customHeight="1" x14ac:dyDescent="0.25">
      <c r="A18" s="17" t="s">
        <v>17</v>
      </c>
      <c r="B18" s="61">
        <v>7</v>
      </c>
      <c r="C18" s="62">
        <f>B18*2.5</f>
        <v>17.5</v>
      </c>
      <c r="D18" s="33">
        <f>pHOS!H23</f>
        <v>0.77948837209302324</v>
      </c>
      <c r="E18" s="62">
        <f>C18*D18</f>
        <v>13.641046511627907</v>
      </c>
      <c r="F18" s="62">
        <f>C18*(1-D18)</f>
        <v>3.8589534883720935</v>
      </c>
      <c r="G18" s="62"/>
      <c r="I18" s="67" t="s">
        <v>0</v>
      </c>
      <c r="J18" s="72"/>
      <c r="K18" s="5"/>
      <c r="L18" s="68" t="s">
        <v>149</v>
      </c>
      <c r="M18" s="80">
        <v>18</v>
      </c>
      <c r="N18" s="5"/>
      <c r="O18" s="75" t="s">
        <v>150</v>
      </c>
      <c r="P18" s="88">
        <v>22</v>
      </c>
      <c r="Q18" s="5"/>
      <c r="R18" s="75" t="s">
        <v>151</v>
      </c>
      <c r="S18" s="80">
        <v>10</v>
      </c>
    </row>
    <row r="19" spans="1:19" ht="16.5" customHeight="1" x14ac:dyDescent="0.25">
      <c r="A19" s="17" t="s">
        <v>4</v>
      </c>
      <c r="B19" s="61">
        <v>0</v>
      </c>
      <c r="C19" s="62">
        <f>B19*2.5</f>
        <v>0</v>
      </c>
      <c r="D19" s="33">
        <f>pHOS!H24</f>
        <v>0</v>
      </c>
      <c r="E19" s="66">
        <f>C19*D19</f>
        <v>0</v>
      </c>
      <c r="F19" s="66">
        <f>C19*(1-D19)</f>
        <v>0</v>
      </c>
      <c r="G19" s="66"/>
      <c r="I19" s="68" t="s">
        <v>152</v>
      </c>
      <c r="J19" s="80">
        <v>22</v>
      </c>
      <c r="K19" s="5"/>
      <c r="L19" s="68" t="s">
        <v>153</v>
      </c>
      <c r="M19" s="80">
        <v>1</v>
      </c>
      <c r="N19" s="5"/>
      <c r="O19" s="75" t="s">
        <v>154</v>
      </c>
      <c r="P19" s="88">
        <v>32</v>
      </c>
      <c r="Q19" s="5"/>
      <c r="R19" s="75" t="s">
        <v>155</v>
      </c>
      <c r="S19" s="80">
        <v>29</v>
      </c>
    </row>
    <row r="20" spans="1:19" s="37" customFormat="1" ht="16.5" customHeight="1" x14ac:dyDescent="0.25">
      <c r="A20" s="17" t="s">
        <v>3</v>
      </c>
      <c r="B20" s="65">
        <v>98</v>
      </c>
      <c r="C20" s="132">
        <f>B20*2.5</f>
        <v>245</v>
      </c>
      <c r="D20" s="33">
        <f>pHOS!H25</f>
        <v>9.4588235294117654E-2</v>
      </c>
      <c r="E20" s="62">
        <f>C20*D20</f>
        <v>23.174117647058825</v>
      </c>
      <c r="F20" s="62">
        <f>C20*(1-D20)</f>
        <v>221.82588235294116</v>
      </c>
      <c r="G20" s="132">
        <f>'2015 Outplants'!J18*(1-'2016 PSM'!D23)</f>
        <v>360.4</v>
      </c>
      <c r="I20" s="68" t="s">
        <v>156</v>
      </c>
      <c r="J20" s="80">
        <v>84</v>
      </c>
      <c r="K20" s="5"/>
      <c r="L20" s="68" t="s">
        <v>157</v>
      </c>
      <c r="M20" s="80">
        <v>1</v>
      </c>
      <c r="N20" s="5"/>
      <c r="O20" s="105" t="s">
        <v>158</v>
      </c>
      <c r="P20" s="79">
        <v>5</v>
      </c>
      <c r="Q20" s="5"/>
      <c r="R20" s="75" t="s">
        <v>159</v>
      </c>
      <c r="S20" s="80">
        <v>48</v>
      </c>
    </row>
    <row r="21" spans="1:19" ht="16.5" customHeight="1" x14ac:dyDescent="0.25">
      <c r="A21" s="17" t="s">
        <v>5</v>
      </c>
      <c r="B21" s="121" t="s">
        <v>30</v>
      </c>
      <c r="C21" s="121" t="s">
        <v>30</v>
      </c>
      <c r="D21" s="33" t="str">
        <f>pHOS!H26</f>
        <v>--</v>
      </c>
      <c r="E21" s="121" t="s">
        <v>30</v>
      </c>
      <c r="F21" s="121" t="s">
        <v>30</v>
      </c>
      <c r="G21" s="121"/>
      <c r="I21" s="68" t="s">
        <v>160</v>
      </c>
      <c r="J21" s="80">
        <v>71</v>
      </c>
      <c r="K21" s="5"/>
      <c r="L21" s="5"/>
      <c r="M21" s="81">
        <f>SUM(M13:M20)</f>
        <v>385</v>
      </c>
      <c r="N21" s="5"/>
      <c r="O21" s="75" t="s">
        <v>161</v>
      </c>
      <c r="P21" s="79">
        <v>2</v>
      </c>
      <c r="Q21" s="5"/>
      <c r="R21" s="75" t="s">
        <v>162</v>
      </c>
      <c r="S21" s="80">
        <v>8</v>
      </c>
    </row>
    <row r="22" spans="1:19" ht="16.5" customHeight="1" x14ac:dyDescent="0.25">
      <c r="A22" s="19" t="s">
        <v>18</v>
      </c>
      <c r="B22" s="122" t="s">
        <v>30</v>
      </c>
      <c r="C22" s="122" t="s">
        <v>30</v>
      </c>
      <c r="D22" s="10" t="str">
        <f>pHOS!H27</f>
        <v>--</v>
      </c>
      <c r="E22" s="122" t="s">
        <v>30</v>
      </c>
      <c r="F22" s="122" t="s">
        <v>30</v>
      </c>
      <c r="G22" s="122"/>
      <c r="I22" s="68" t="s">
        <v>163</v>
      </c>
      <c r="J22" s="80">
        <v>42</v>
      </c>
      <c r="K22" s="5"/>
      <c r="L22" s="5"/>
      <c r="M22" s="72"/>
      <c r="N22" s="5"/>
      <c r="O22" s="75" t="s">
        <v>164</v>
      </c>
      <c r="P22" s="79">
        <v>0</v>
      </c>
      <c r="Q22" s="5"/>
      <c r="R22" s="75" t="s">
        <v>165</v>
      </c>
      <c r="S22" s="80">
        <v>3</v>
      </c>
    </row>
    <row r="23" spans="1:19" ht="21" customHeight="1" x14ac:dyDescent="0.25">
      <c r="I23" s="68" t="s">
        <v>166</v>
      </c>
      <c r="J23" s="80">
        <v>17</v>
      </c>
      <c r="K23" s="5"/>
      <c r="L23" s="68" t="s">
        <v>167</v>
      </c>
      <c r="M23" s="80">
        <v>1</v>
      </c>
      <c r="N23" s="5"/>
      <c r="O23" s="75" t="s">
        <v>168</v>
      </c>
      <c r="P23" s="79">
        <v>0</v>
      </c>
      <c r="Q23" s="5"/>
      <c r="R23" s="75" t="s">
        <v>169</v>
      </c>
      <c r="S23" s="80">
        <v>0</v>
      </c>
    </row>
    <row r="24" spans="1:19" ht="21" customHeight="1" x14ac:dyDescent="0.25">
      <c r="I24" s="68" t="s">
        <v>170</v>
      </c>
      <c r="J24" s="80">
        <v>49</v>
      </c>
      <c r="K24" s="5"/>
      <c r="L24" s="68" t="s">
        <v>171</v>
      </c>
      <c r="M24" s="80">
        <v>3</v>
      </c>
      <c r="N24" s="5"/>
      <c r="O24" s="75" t="s">
        <v>172</v>
      </c>
      <c r="P24" s="79">
        <v>0</v>
      </c>
      <c r="Q24" s="5"/>
      <c r="R24" s="75" t="s">
        <v>173</v>
      </c>
      <c r="S24" s="80">
        <v>0</v>
      </c>
    </row>
    <row r="25" spans="1:19" ht="21" customHeight="1" x14ac:dyDescent="0.25">
      <c r="I25" s="68" t="s">
        <v>174</v>
      </c>
      <c r="J25" s="80">
        <v>2</v>
      </c>
      <c r="K25" s="5"/>
      <c r="L25" s="68" t="s">
        <v>175</v>
      </c>
      <c r="M25" s="80">
        <v>0</v>
      </c>
      <c r="N25" s="5"/>
      <c r="O25" s="75"/>
      <c r="P25" s="107"/>
      <c r="Q25" s="5"/>
      <c r="R25" s="75" t="s">
        <v>176</v>
      </c>
      <c r="S25" s="80">
        <v>0</v>
      </c>
    </row>
    <row r="26" spans="1:19" ht="21" customHeight="1" x14ac:dyDescent="0.25">
      <c r="I26" s="68" t="s">
        <v>177</v>
      </c>
      <c r="J26" s="80">
        <v>38</v>
      </c>
      <c r="K26" s="5"/>
      <c r="L26" s="68" t="s">
        <v>178</v>
      </c>
      <c r="M26" s="80">
        <v>0</v>
      </c>
      <c r="N26" s="5"/>
      <c r="O26" s="95" t="s">
        <v>179</v>
      </c>
      <c r="P26" s="108">
        <f>SUM(P14:P24)</f>
        <v>162</v>
      </c>
      <c r="Q26" s="5"/>
      <c r="R26" s="75" t="s">
        <v>180</v>
      </c>
      <c r="S26" s="80">
        <v>0</v>
      </c>
    </row>
    <row r="27" spans="1:19" ht="21" customHeight="1" x14ac:dyDescent="0.25">
      <c r="I27" s="68" t="s">
        <v>181</v>
      </c>
      <c r="J27" s="82">
        <v>207</v>
      </c>
      <c r="K27" s="5"/>
      <c r="L27" s="68" t="s">
        <v>182</v>
      </c>
      <c r="M27" s="80">
        <v>0</v>
      </c>
      <c r="N27" s="5"/>
      <c r="O27" s="75"/>
      <c r="P27" s="79"/>
      <c r="Q27" s="5"/>
      <c r="R27" s="75" t="s">
        <v>183</v>
      </c>
      <c r="S27" s="80">
        <v>0</v>
      </c>
    </row>
    <row r="28" spans="1:19" ht="21" customHeight="1" x14ac:dyDescent="0.25">
      <c r="I28" s="68" t="s">
        <v>184</v>
      </c>
      <c r="J28" s="80">
        <v>76</v>
      </c>
      <c r="K28" s="5"/>
      <c r="L28" s="5"/>
      <c r="M28" s="81">
        <f>SUM(M23:M27)</f>
        <v>4</v>
      </c>
      <c r="N28" s="5"/>
      <c r="O28" s="75"/>
      <c r="P28" s="79"/>
      <c r="Q28" s="109"/>
      <c r="R28" s="75"/>
      <c r="S28" s="81">
        <f>SUM(S18:S27)</f>
        <v>98</v>
      </c>
    </row>
    <row r="29" spans="1:19" ht="21" customHeight="1" thickBot="1" x14ac:dyDescent="0.3">
      <c r="I29" s="68" t="s">
        <v>185</v>
      </c>
      <c r="J29" s="82">
        <v>36</v>
      </c>
      <c r="K29" s="5"/>
      <c r="L29" s="5"/>
      <c r="M29" s="72"/>
      <c r="N29" s="5"/>
      <c r="O29" s="78" t="s">
        <v>186</v>
      </c>
      <c r="P29" s="87">
        <f>SUM(P11,P26)</f>
        <v>1377</v>
      </c>
      <c r="Q29" s="109"/>
      <c r="R29" s="111" t="s">
        <v>187</v>
      </c>
      <c r="S29" s="118"/>
    </row>
    <row r="30" spans="1:19" ht="21" customHeight="1" thickBot="1" x14ac:dyDescent="0.3">
      <c r="I30" s="68" t="s">
        <v>188</v>
      </c>
      <c r="J30" s="82">
        <v>56</v>
      </c>
      <c r="K30" s="5"/>
      <c r="L30" s="91" t="s">
        <v>189</v>
      </c>
      <c r="M30" s="98">
        <f>SUM(M11,M21,M28)</f>
        <v>415</v>
      </c>
      <c r="N30" s="5"/>
      <c r="O30" s="77"/>
      <c r="P30" s="79"/>
      <c r="Q30" s="109"/>
      <c r="R30" s="75" t="s">
        <v>190</v>
      </c>
      <c r="S30" s="79" t="s">
        <v>120</v>
      </c>
    </row>
    <row r="31" spans="1:19" ht="21" customHeight="1" x14ac:dyDescent="0.25">
      <c r="I31" s="68" t="s">
        <v>129</v>
      </c>
      <c r="J31" s="80">
        <v>39</v>
      </c>
      <c r="K31" s="5"/>
      <c r="L31" s="5"/>
      <c r="M31" s="72"/>
      <c r="N31" s="5"/>
      <c r="O31" s="77"/>
      <c r="P31" s="79"/>
      <c r="Q31" s="109"/>
      <c r="R31" s="75" t="s">
        <v>191</v>
      </c>
      <c r="S31" s="79" t="s">
        <v>120</v>
      </c>
    </row>
    <row r="32" spans="1:19" ht="21" customHeight="1" x14ac:dyDescent="0.25">
      <c r="I32" s="5"/>
      <c r="J32" s="83"/>
      <c r="K32" s="5"/>
      <c r="L32" s="5"/>
      <c r="M32" s="72"/>
      <c r="N32" s="5"/>
      <c r="O32" s="77"/>
      <c r="P32" s="79"/>
      <c r="Q32" s="109"/>
      <c r="R32" s="75" t="s">
        <v>192</v>
      </c>
      <c r="S32" s="79" t="s">
        <v>120</v>
      </c>
    </row>
    <row r="33" spans="9:19" ht="21" customHeight="1" thickBot="1" x14ac:dyDescent="0.3">
      <c r="I33" s="69" t="s">
        <v>193</v>
      </c>
      <c r="J33" s="84">
        <f>SUM(J11,J17,J19:J29)</f>
        <v>1022</v>
      </c>
      <c r="K33" s="5"/>
      <c r="L33" s="92" t="s">
        <v>7</v>
      </c>
      <c r="M33" s="79"/>
      <c r="N33" s="5"/>
      <c r="O33" s="5"/>
      <c r="P33" s="79"/>
      <c r="Q33" s="5"/>
      <c r="R33" s="75" t="s">
        <v>194</v>
      </c>
      <c r="S33" s="79" t="s">
        <v>120</v>
      </c>
    </row>
    <row r="34" spans="9:19" ht="21" customHeight="1" x14ac:dyDescent="0.25">
      <c r="I34" s="69" t="s">
        <v>195</v>
      </c>
      <c r="J34" s="85">
        <f>SUM(J33,J30:J31)</f>
        <v>1117</v>
      </c>
      <c r="K34" s="5"/>
      <c r="L34" s="93" t="s">
        <v>196</v>
      </c>
      <c r="M34" s="79">
        <v>0</v>
      </c>
      <c r="N34" s="5"/>
      <c r="O34" s="5"/>
      <c r="P34" s="72"/>
      <c r="Q34" s="5"/>
      <c r="R34" s="75" t="s">
        <v>197</v>
      </c>
      <c r="S34" s="79" t="s">
        <v>120</v>
      </c>
    </row>
    <row r="35" spans="9:19" ht="21" customHeight="1" x14ac:dyDescent="0.25">
      <c r="I35" s="5"/>
      <c r="J35" s="72"/>
      <c r="K35" s="5"/>
      <c r="L35" s="93" t="s">
        <v>198</v>
      </c>
      <c r="M35" s="79">
        <v>0</v>
      </c>
      <c r="N35" s="5"/>
      <c r="O35" s="5"/>
      <c r="P35" s="72"/>
      <c r="Q35" s="5"/>
      <c r="R35" s="75" t="s">
        <v>199</v>
      </c>
      <c r="S35" s="79" t="s">
        <v>120</v>
      </c>
    </row>
    <row r="36" spans="9:19" ht="21" customHeight="1" x14ac:dyDescent="0.25">
      <c r="I36" s="68" t="s">
        <v>200</v>
      </c>
      <c r="J36" s="80">
        <v>170</v>
      </c>
      <c r="K36" s="5"/>
      <c r="L36" s="93" t="s">
        <v>201</v>
      </c>
      <c r="M36" s="79">
        <v>11</v>
      </c>
      <c r="N36" s="5"/>
      <c r="O36" s="5"/>
      <c r="P36" s="72"/>
      <c r="Q36" s="5"/>
      <c r="R36" s="5"/>
      <c r="S36" s="81"/>
    </row>
    <row r="37" spans="9:19" ht="21" customHeight="1" x14ac:dyDescent="0.25">
      <c r="I37" s="68" t="s">
        <v>202</v>
      </c>
      <c r="J37" s="80">
        <v>10</v>
      </c>
      <c r="K37" s="5"/>
      <c r="L37" s="93" t="s">
        <v>203</v>
      </c>
      <c r="M37" s="79">
        <v>61</v>
      </c>
      <c r="N37" s="5"/>
      <c r="O37" s="5"/>
      <c r="P37" s="72"/>
      <c r="Q37" s="5"/>
      <c r="R37" s="111" t="s">
        <v>204</v>
      </c>
      <c r="S37" s="72"/>
    </row>
    <row r="38" spans="9:19" ht="21" customHeight="1" x14ac:dyDescent="0.25">
      <c r="I38" s="68" t="s">
        <v>205</v>
      </c>
      <c r="J38" s="80">
        <v>0</v>
      </c>
      <c r="K38" s="5"/>
      <c r="L38" s="93" t="s">
        <v>206</v>
      </c>
      <c r="M38" s="79">
        <v>50</v>
      </c>
      <c r="N38" s="5"/>
      <c r="O38" s="5"/>
      <c r="P38" s="72"/>
      <c r="Q38" s="5"/>
      <c r="R38" s="112" t="s">
        <v>207</v>
      </c>
      <c r="S38" s="79" t="s">
        <v>120</v>
      </c>
    </row>
    <row r="39" spans="9:19" ht="21" customHeight="1" x14ac:dyDescent="0.25">
      <c r="I39" s="68" t="s">
        <v>208</v>
      </c>
      <c r="J39" s="80">
        <v>0</v>
      </c>
      <c r="K39" s="5"/>
      <c r="L39" s="93" t="s">
        <v>209</v>
      </c>
      <c r="M39" s="79">
        <v>38</v>
      </c>
      <c r="N39" s="5"/>
      <c r="O39" s="5"/>
      <c r="P39" s="72"/>
      <c r="Q39" s="5"/>
      <c r="R39" s="75" t="s">
        <v>210</v>
      </c>
      <c r="S39" s="79" t="s">
        <v>120</v>
      </c>
    </row>
    <row r="40" spans="9:19" ht="21" customHeight="1" x14ac:dyDescent="0.25">
      <c r="I40" s="68" t="s">
        <v>211</v>
      </c>
      <c r="J40" s="80">
        <v>0</v>
      </c>
      <c r="K40" s="5"/>
      <c r="L40" s="93" t="s">
        <v>212</v>
      </c>
      <c r="M40" s="79">
        <v>65</v>
      </c>
      <c r="N40" s="5"/>
      <c r="O40" s="5"/>
      <c r="P40" s="72"/>
      <c r="Q40" s="5"/>
      <c r="R40" s="75" t="s">
        <v>213</v>
      </c>
      <c r="S40" s="79" t="s">
        <v>120</v>
      </c>
    </row>
    <row r="41" spans="9:19" ht="21" customHeight="1" x14ac:dyDescent="0.25">
      <c r="I41" s="70" t="s">
        <v>214</v>
      </c>
      <c r="J41" s="86">
        <f>SUM(J36:J40)</f>
        <v>180</v>
      </c>
      <c r="K41" s="5"/>
      <c r="L41" s="93" t="s">
        <v>215</v>
      </c>
      <c r="M41" s="79">
        <v>6</v>
      </c>
      <c r="N41" s="5"/>
      <c r="O41" s="5"/>
      <c r="P41" s="72"/>
      <c r="Q41" s="5"/>
      <c r="R41" s="75" t="s">
        <v>216</v>
      </c>
      <c r="S41" s="79" t="s">
        <v>120</v>
      </c>
    </row>
    <row r="42" spans="9:19" ht="21" customHeight="1" x14ac:dyDescent="0.25">
      <c r="I42" s="5"/>
      <c r="J42" s="72"/>
      <c r="K42" s="5"/>
      <c r="L42" s="94" t="s">
        <v>217</v>
      </c>
      <c r="M42" s="79">
        <v>1</v>
      </c>
      <c r="N42" s="5"/>
      <c r="O42" s="5"/>
      <c r="P42" s="72"/>
      <c r="Q42" s="5"/>
      <c r="R42" s="75" t="s">
        <v>218</v>
      </c>
      <c r="S42" s="79" t="s">
        <v>120</v>
      </c>
    </row>
    <row r="43" spans="9:19" ht="21" customHeight="1" x14ac:dyDescent="0.25">
      <c r="I43" s="71" t="s">
        <v>219</v>
      </c>
      <c r="J43" s="87">
        <f>SUM(J34,J41)</f>
        <v>1297</v>
      </c>
      <c r="K43" s="5"/>
      <c r="L43" s="94" t="s">
        <v>220</v>
      </c>
      <c r="M43" s="79">
        <v>0</v>
      </c>
      <c r="N43" s="5"/>
      <c r="O43" s="5"/>
      <c r="P43" s="72"/>
      <c r="Q43" s="5"/>
      <c r="R43" s="75" t="s">
        <v>221</v>
      </c>
      <c r="S43" s="79" t="s">
        <v>120</v>
      </c>
    </row>
    <row r="44" spans="9:19" ht="21" customHeight="1" x14ac:dyDescent="0.25">
      <c r="I44" s="72"/>
      <c r="J44" s="83"/>
      <c r="K44" s="5"/>
      <c r="L44" s="94" t="s">
        <v>222</v>
      </c>
      <c r="M44" s="79" t="s">
        <v>120</v>
      </c>
      <c r="N44" s="5"/>
      <c r="O44" s="5"/>
      <c r="P44" s="72"/>
      <c r="Q44" s="5"/>
      <c r="R44" s="75" t="s">
        <v>223</v>
      </c>
      <c r="S44" s="79" t="s">
        <v>120</v>
      </c>
    </row>
    <row r="45" spans="9:19" ht="21" customHeight="1" x14ac:dyDescent="0.25">
      <c r="I45" s="5"/>
      <c r="J45" s="72"/>
      <c r="K45" s="5"/>
      <c r="L45" s="75" t="s">
        <v>224</v>
      </c>
      <c r="M45" s="79" t="s">
        <v>120</v>
      </c>
      <c r="N45" s="5"/>
      <c r="O45" s="5"/>
      <c r="P45" s="72"/>
      <c r="Q45" s="5"/>
      <c r="R45" s="75"/>
      <c r="S45" s="79"/>
    </row>
    <row r="46" spans="9:19" ht="21" customHeight="1" x14ac:dyDescent="0.25">
      <c r="I46" s="5"/>
      <c r="J46" s="72"/>
      <c r="K46" s="5"/>
      <c r="L46" s="75" t="s">
        <v>225</v>
      </c>
      <c r="M46" s="79">
        <v>37</v>
      </c>
      <c r="N46" s="5"/>
      <c r="O46" s="5"/>
      <c r="P46" s="72"/>
      <c r="Q46" s="5"/>
      <c r="R46" s="5"/>
      <c r="S46" s="79"/>
    </row>
    <row r="47" spans="9:19" ht="21" customHeight="1" x14ac:dyDescent="0.25">
      <c r="I47" s="73" t="s">
        <v>226</v>
      </c>
      <c r="J47" s="72"/>
      <c r="K47" s="5"/>
      <c r="L47" s="75" t="s">
        <v>227</v>
      </c>
      <c r="M47" s="79">
        <v>86</v>
      </c>
      <c r="N47" s="5"/>
      <c r="O47" s="5"/>
      <c r="P47" s="72"/>
      <c r="Q47" s="5"/>
      <c r="R47" s="95" t="s">
        <v>228</v>
      </c>
      <c r="S47" s="89">
        <v>0</v>
      </c>
    </row>
    <row r="48" spans="9:19" ht="21" customHeight="1" x14ac:dyDescent="0.25">
      <c r="I48" s="74" t="s">
        <v>229</v>
      </c>
      <c r="J48" s="72" t="s">
        <v>120</v>
      </c>
      <c r="K48" s="5"/>
      <c r="L48" s="75" t="s">
        <v>230</v>
      </c>
      <c r="M48" s="79">
        <v>38</v>
      </c>
      <c r="N48" s="5"/>
      <c r="O48" s="5"/>
      <c r="P48" s="72"/>
      <c r="Q48" s="5"/>
      <c r="R48" s="5"/>
      <c r="S48" s="79"/>
    </row>
    <row r="49" spans="9:19" ht="21" customHeight="1" x14ac:dyDescent="0.25">
      <c r="I49" s="75" t="s">
        <v>231</v>
      </c>
      <c r="J49" s="79">
        <v>90</v>
      </c>
      <c r="K49" s="5"/>
      <c r="L49" s="75" t="s">
        <v>232</v>
      </c>
      <c r="M49" s="79">
        <v>15</v>
      </c>
      <c r="N49" s="5"/>
      <c r="O49" s="5"/>
      <c r="P49" s="72"/>
      <c r="Q49" s="5"/>
      <c r="R49" s="102" t="s">
        <v>233</v>
      </c>
      <c r="S49" s="79"/>
    </row>
    <row r="50" spans="9:19" ht="21" customHeight="1" x14ac:dyDescent="0.25">
      <c r="I50" s="75" t="s">
        <v>234</v>
      </c>
      <c r="J50" s="79">
        <v>26</v>
      </c>
      <c r="K50" s="5"/>
      <c r="L50" s="75" t="s">
        <v>235</v>
      </c>
      <c r="M50" s="79">
        <v>44</v>
      </c>
      <c r="N50" s="5"/>
      <c r="O50" s="5"/>
      <c r="P50" s="72"/>
      <c r="Q50" s="5"/>
      <c r="R50" s="113" t="s">
        <v>236</v>
      </c>
      <c r="S50" s="118">
        <v>0</v>
      </c>
    </row>
    <row r="51" spans="9:19" ht="21" customHeight="1" x14ac:dyDescent="0.25">
      <c r="I51" s="75" t="s">
        <v>237</v>
      </c>
      <c r="J51" s="88">
        <v>57</v>
      </c>
      <c r="K51" s="5"/>
      <c r="L51" s="75" t="s">
        <v>238</v>
      </c>
      <c r="M51" s="79">
        <v>20</v>
      </c>
      <c r="N51" s="5"/>
      <c r="O51" s="5"/>
      <c r="P51" s="72"/>
      <c r="Q51" s="5"/>
      <c r="R51" s="113" t="s">
        <v>239</v>
      </c>
      <c r="S51" s="118">
        <v>0</v>
      </c>
    </row>
    <row r="52" spans="9:19" ht="21" customHeight="1" x14ac:dyDescent="0.25">
      <c r="I52" s="75" t="s">
        <v>240</v>
      </c>
      <c r="J52" s="88">
        <v>29</v>
      </c>
      <c r="K52" s="5"/>
      <c r="L52" s="75" t="s">
        <v>241</v>
      </c>
      <c r="M52" s="88">
        <v>9</v>
      </c>
      <c r="N52" s="5"/>
      <c r="O52" s="5"/>
      <c r="P52" s="72"/>
      <c r="Q52" s="5"/>
      <c r="R52" s="113" t="s">
        <v>242</v>
      </c>
      <c r="S52" s="118">
        <v>0</v>
      </c>
    </row>
    <row r="53" spans="9:19" ht="21" customHeight="1" x14ac:dyDescent="0.25">
      <c r="I53" s="75" t="s">
        <v>243</v>
      </c>
      <c r="J53" s="88">
        <v>16</v>
      </c>
      <c r="K53" s="5"/>
      <c r="L53" s="95" t="s">
        <v>244</v>
      </c>
      <c r="M53" s="99">
        <f>SUM(M34:M52)</f>
        <v>481</v>
      </c>
      <c r="N53" s="5"/>
      <c r="O53" s="5"/>
      <c r="P53" s="72"/>
      <c r="Q53" s="5"/>
      <c r="R53" s="113" t="s">
        <v>245</v>
      </c>
      <c r="S53" s="118">
        <v>0</v>
      </c>
    </row>
    <row r="54" spans="9:19" ht="21" customHeight="1" x14ac:dyDescent="0.25">
      <c r="I54" s="75" t="s">
        <v>246</v>
      </c>
      <c r="J54" s="88">
        <v>43</v>
      </c>
      <c r="K54" s="5"/>
      <c r="L54" s="75"/>
      <c r="M54" s="79"/>
      <c r="N54" s="5"/>
      <c r="O54" s="5"/>
      <c r="P54" s="72"/>
      <c r="Q54" s="5"/>
      <c r="R54" s="113" t="s">
        <v>247</v>
      </c>
      <c r="S54" s="118">
        <v>0</v>
      </c>
    </row>
    <row r="55" spans="9:19" ht="21" customHeight="1" x14ac:dyDescent="0.25">
      <c r="I55" s="75" t="s">
        <v>248</v>
      </c>
      <c r="J55" s="79">
        <v>32</v>
      </c>
      <c r="K55" s="5"/>
      <c r="L55" s="75"/>
      <c r="M55" s="72"/>
      <c r="N55" s="5"/>
      <c r="O55" s="5"/>
      <c r="P55" s="72"/>
      <c r="Q55" s="5"/>
      <c r="R55" s="113" t="s">
        <v>249</v>
      </c>
      <c r="S55" s="118">
        <v>7</v>
      </c>
    </row>
    <row r="56" spans="9:19" ht="21" customHeight="1" x14ac:dyDescent="0.25">
      <c r="I56" s="75"/>
      <c r="J56" s="79"/>
      <c r="K56" s="5"/>
      <c r="L56" s="96" t="s">
        <v>42</v>
      </c>
      <c r="M56" s="100">
        <f>SUM(M30,M53)</f>
        <v>896</v>
      </c>
      <c r="N56" s="5"/>
      <c r="O56" s="5"/>
      <c r="P56" s="72"/>
      <c r="Q56" s="5"/>
      <c r="R56" s="113" t="s">
        <v>250</v>
      </c>
      <c r="S56" s="118">
        <v>0</v>
      </c>
    </row>
    <row r="57" spans="9:19" ht="21" customHeight="1" x14ac:dyDescent="0.25">
      <c r="I57" s="76" t="s">
        <v>251</v>
      </c>
      <c r="J57" s="89">
        <f>SUM(J49:J55)</f>
        <v>293</v>
      </c>
      <c r="K57" s="5"/>
      <c r="L57" s="5"/>
      <c r="M57" s="72"/>
      <c r="N57" s="5"/>
      <c r="O57" s="5"/>
      <c r="P57" s="72"/>
      <c r="Q57" s="5"/>
      <c r="R57" s="5"/>
      <c r="S57" s="119">
        <f>SUM(S50:S56)</f>
        <v>7</v>
      </c>
    </row>
    <row r="58" spans="9:19" ht="21" customHeight="1" x14ac:dyDescent="0.25">
      <c r="I58" s="77"/>
      <c r="J58" s="79"/>
      <c r="K58" s="5"/>
      <c r="L58" s="5"/>
      <c r="M58" s="72"/>
      <c r="N58" s="5"/>
      <c r="O58" s="5"/>
      <c r="P58" s="72"/>
      <c r="Q58" s="5"/>
      <c r="R58" s="5"/>
      <c r="S58" s="5"/>
    </row>
    <row r="59" spans="9:19" ht="21" customHeight="1" x14ac:dyDescent="0.25">
      <c r="I59" s="77"/>
      <c r="J59" s="79"/>
      <c r="K59" s="5"/>
      <c r="L59" s="5"/>
      <c r="M59" s="72"/>
      <c r="N59" s="5"/>
      <c r="O59" s="5"/>
      <c r="P59" s="72"/>
      <c r="Q59" s="5"/>
      <c r="R59" s="114" t="s">
        <v>2</v>
      </c>
      <c r="S59" s="120">
        <f>SUM(S28,S57)</f>
        <v>105</v>
      </c>
    </row>
    <row r="60" spans="9:19" ht="21" customHeight="1" x14ac:dyDescent="0.25">
      <c r="I60" s="78" t="s">
        <v>43</v>
      </c>
      <c r="J60" s="85">
        <f>SUM(J43,J57)</f>
        <v>1590</v>
      </c>
      <c r="K60" s="5"/>
      <c r="L60" s="5"/>
      <c r="M60" s="72"/>
      <c r="N60" s="5"/>
      <c r="O60" s="5"/>
      <c r="P60" s="72"/>
      <c r="Q60" s="5"/>
      <c r="R60" s="5"/>
      <c r="S60" s="72"/>
    </row>
  </sheetData>
  <mergeCells count="1">
    <mergeCell ref="A1:F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workbookViewId="0">
      <selection activeCell="M8" sqref="M8"/>
    </sheetView>
  </sheetViews>
  <sheetFormatPr defaultRowHeight="14.25" customHeight="1" x14ac:dyDescent="0.25"/>
  <cols>
    <col min="1" max="1" width="39.28515625" style="5" customWidth="1"/>
    <col min="2" max="2" width="14.7109375" style="5" customWidth="1"/>
    <col min="3" max="3" width="10.7109375" style="5" customWidth="1"/>
    <col min="4" max="4" width="9.140625" style="5" customWidth="1"/>
    <col min="5" max="5" width="17" style="5" customWidth="1"/>
    <col min="6" max="7" width="9.140625" style="5"/>
    <col min="8" max="8" width="9.7109375" style="5" bestFit="1" customWidth="1"/>
    <col min="9" max="16384" width="9.140625" style="5"/>
  </cols>
  <sheetData>
    <row r="1" spans="1:10" ht="34.5" customHeight="1" x14ac:dyDescent="0.25">
      <c r="A1" s="142" t="s">
        <v>255</v>
      </c>
      <c r="B1" s="142"/>
      <c r="C1" s="142"/>
      <c r="D1" s="142"/>
      <c r="E1" s="142"/>
      <c r="F1" s="142"/>
      <c r="G1" s="142"/>
      <c r="H1" s="142"/>
      <c r="I1" s="142"/>
      <c r="J1" s="142"/>
    </row>
    <row r="2" spans="1:10" ht="8.25" customHeight="1" x14ac:dyDescent="0.25">
      <c r="A2" s="143"/>
      <c r="B2" s="143"/>
      <c r="C2" s="143"/>
      <c r="D2" s="143"/>
      <c r="E2" s="143"/>
      <c r="F2" s="143"/>
      <c r="G2" s="143"/>
      <c r="H2" s="143"/>
      <c r="I2" s="143"/>
      <c r="J2" s="143"/>
    </row>
    <row r="3" spans="1:10" ht="78.75" x14ac:dyDescent="0.25">
      <c r="A3" s="12" t="s">
        <v>46</v>
      </c>
      <c r="B3" s="13" t="s">
        <v>11</v>
      </c>
      <c r="C3" s="13" t="s">
        <v>21</v>
      </c>
      <c r="D3" s="13" t="s">
        <v>20</v>
      </c>
      <c r="E3" s="13" t="s">
        <v>254</v>
      </c>
      <c r="F3" s="13" t="s">
        <v>23</v>
      </c>
      <c r="G3" s="13" t="s">
        <v>24</v>
      </c>
      <c r="H3" s="13" t="s">
        <v>25</v>
      </c>
      <c r="I3" s="13" t="s">
        <v>31</v>
      </c>
      <c r="J3" s="13" t="s">
        <v>32</v>
      </c>
    </row>
    <row r="4" spans="1:10" ht="14.25" customHeight="1" x14ac:dyDescent="0.25">
      <c r="A4" s="14"/>
      <c r="B4" s="14"/>
      <c r="C4" s="14"/>
      <c r="D4" s="14"/>
      <c r="E4" s="14"/>
      <c r="F4" s="14"/>
      <c r="G4" s="14"/>
      <c r="H4" s="14"/>
      <c r="I4" s="6"/>
      <c r="J4" s="6"/>
    </row>
    <row r="5" spans="1:10" ht="14.25" customHeight="1" x14ac:dyDescent="0.25">
      <c r="A5" s="15" t="s">
        <v>6</v>
      </c>
      <c r="B5" s="16"/>
      <c r="C5" s="16"/>
      <c r="D5" s="16"/>
      <c r="E5" s="16"/>
      <c r="F5" s="16"/>
      <c r="G5" s="16"/>
      <c r="H5" s="16"/>
      <c r="I5" s="7"/>
      <c r="J5" s="7"/>
    </row>
    <row r="6" spans="1:10" ht="14.25" customHeight="1" x14ac:dyDescent="0.25">
      <c r="A6" s="17" t="s">
        <v>75</v>
      </c>
      <c r="B6" s="21">
        <f>'2016 Redd &amp; Spawner Abundance'!B5</f>
        <v>415</v>
      </c>
      <c r="C6" s="20">
        <v>49</v>
      </c>
      <c r="D6" s="20">
        <v>62</v>
      </c>
      <c r="E6" s="8">
        <v>7.8E-2</v>
      </c>
      <c r="F6" s="39">
        <f>SUM(C6:D6)-G6</f>
        <v>45.177999999999997</v>
      </c>
      <c r="G6" s="39">
        <f>D6+E6*C6</f>
        <v>65.822000000000003</v>
      </c>
      <c r="H6" s="42">
        <f>G6/SUM(F6:G6)</f>
        <v>0.59299099099099106</v>
      </c>
      <c r="I6" s="6">
        <f>H6-(1.96*(SQRT(H6*(1-H6)/SUM(F6:G6))))</f>
        <v>0.50159636902668214</v>
      </c>
      <c r="J6" s="6">
        <v>0.94</v>
      </c>
    </row>
    <row r="7" spans="1:10" ht="14.25" customHeight="1" x14ac:dyDescent="0.25">
      <c r="A7" s="17" t="s">
        <v>12</v>
      </c>
      <c r="B7" s="21">
        <f>'2016 Redd &amp; Spawner Abundance'!B6</f>
        <v>481</v>
      </c>
      <c r="C7" s="20">
        <v>0</v>
      </c>
      <c r="D7" s="20">
        <v>146</v>
      </c>
      <c r="E7" s="8">
        <v>0</v>
      </c>
      <c r="F7" s="39">
        <f>SUM(C7:D7)-G7</f>
        <v>0</v>
      </c>
      <c r="G7" s="39">
        <f>D7+E7*C7</f>
        <v>146</v>
      </c>
      <c r="H7" s="42">
        <f>G7/SUM(F7:G7)</f>
        <v>1</v>
      </c>
      <c r="I7" s="6">
        <f>H7-(1.96*(SQRT(H7*(1-H7)/SUM(F7:G7))))</f>
        <v>1</v>
      </c>
      <c r="J7" s="6">
        <f>H7+(1.96*(SQRT(H7*(1-I7)/SUM(F7:G7))))</f>
        <v>1</v>
      </c>
    </row>
    <row r="8" spans="1:10" ht="14.25" customHeight="1" x14ac:dyDescent="0.25">
      <c r="A8" s="14"/>
      <c r="B8" s="20"/>
      <c r="C8" s="20"/>
      <c r="D8" s="20"/>
      <c r="E8" s="144" t="s">
        <v>47</v>
      </c>
      <c r="F8" s="144"/>
      <c r="G8" s="144"/>
      <c r="H8" s="42">
        <f>(H6*B6+H7*B7)/SUM(B6:B7)</f>
        <v>0.81148578265765769</v>
      </c>
      <c r="I8" s="6"/>
      <c r="J8" s="6"/>
    </row>
    <row r="9" spans="1:10" ht="14.25" customHeight="1" x14ac:dyDescent="0.25">
      <c r="A9" s="14"/>
      <c r="B9" s="20"/>
      <c r="C9" s="20"/>
      <c r="D9" s="20"/>
      <c r="E9" s="20"/>
      <c r="F9" s="40"/>
      <c r="G9" s="40"/>
      <c r="H9" s="42"/>
      <c r="I9" s="6"/>
      <c r="J9" s="6"/>
    </row>
    <row r="10" spans="1:10" ht="14.25" customHeight="1" x14ac:dyDescent="0.25">
      <c r="A10" s="15" t="s">
        <v>9</v>
      </c>
      <c r="B10" s="20"/>
      <c r="C10" s="20"/>
      <c r="D10" s="20"/>
      <c r="E10" s="20"/>
      <c r="F10" s="40"/>
      <c r="G10" s="40"/>
      <c r="H10" s="42"/>
      <c r="I10" s="7"/>
      <c r="J10" s="7"/>
    </row>
    <row r="11" spans="1:10" ht="14.25" customHeight="1" x14ac:dyDescent="0.25">
      <c r="A11" s="17" t="s">
        <v>74</v>
      </c>
      <c r="B11" s="21">
        <f>'2016 Redd &amp; Spawner Abundance'!B9</f>
        <v>1215</v>
      </c>
      <c r="C11" s="23">
        <v>112</v>
      </c>
      <c r="D11" s="23">
        <v>889</v>
      </c>
      <c r="E11" s="8">
        <v>0.121</v>
      </c>
      <c r="F11" s="39">
        <f>SUM(C11:D11)-G11</f>
        <v>98.447999999999979</v>
      </c>
      <c r="G11" s="39">
        <f>D11+E11*C11</f>
        <v>902.55200000000002</v>
      </c>
      <c r="H11" s="42">
        <f>G11/SUM(F11:G11)</f>
        <v>0.90165034965034963</v>
      </c>
      <c r="I11" s="6">
        <f>H11-(1.96*(SQRT(H11*(1-H11)/SUM(F11:G11))))</f>
        <v>0.88320255224771971</v>
      </c>
      <c r="J11" s="6">
        <f>H11+(1.96*(SQRT(H11*(1-I11)/SUM(F11:G11))))</f>
        <v>0.92175399372574174</v>
      </c>
    </row>
    <row r="12" spans="1:10" ht="14.25" customHeight="1" x14ac:dyDescent="0.25">
      <c r="A12" s="17" t="s">
        <v>13</v>
      </c>
      <c r="B12" s="21">
        <f>'2016 Redd &amp; Spawner Abundance'!B10</f>
        <v>162</v>
      </c>
      <c r="C12" s="23">
        <v>90</v>
      </c>
      <c r="D12" s="23">
        <v>3</v>
      </c>
      <c r="E12" s="8">
        <v>0.23599999999999999</v>
      </c>
      <c r="F12" s="39">
        <f>SUM(C12:D12)-G12</f>
        <v>68.760000000000005</v>
      </c>
      <c r="G12" s="39">
        <f>D12+E12*C12</f>
        <v>24.24</v>
      </c>
      <c r="H12" s="42">
        <f>G12/SUM(F12:G12)</f>
        <v>0.26064516129032256</v>
      </c>
      <c r="I12" s="6">
        <f>H12-(1.96*(SQRT(H12*(1-H12)/SUM(F12:G12))))</f>
        <v>0.17142440705226369</v>
      </c>
      <c r="J12" s="6">
        <f>H12+(1.96*(SQRT(H12*(1-I12)/SUM(F12:G12))))</f>
        <v>0.35509593039529519</v>
      </c>
    </row>
    <row r="13" spans="1:10" ht="14.25" customHeight="1" x14ac:dyDescent="0.25">
      <c r="A13" s="17"/>
      <c r="B13" s="21"/>
      <c r="C13" s="23"/>
      <c r="D13" s="23"/>
      <c r="E13" s="144" t="s">
        <v>47</v>
      </c>
      <c r="F13" s="144"/>
      <c r="G13" s="144"/>
      <c r="H13" s="42">
        <f>(H11*B11+H12*B12)/SUM(B11:B12)</f>
        <v>0.82623797454917003</v>
      </c>
      <c r="I13" s="6"/>
      <c r="J13" s="6"/>
    </row>
    <row r="14" spans="1:10" ht="14.25" customHeight="1" x14ac:dyDescent="0.25">
      <c r="A14" s="17"/>
      <c r="B14" s="21"/>
      <c r="C14" s="23"/>
      <c r="D14" s="23"/>
      <c r="E14" s="23"/>
      <c r="F14" s="41"/>
      <c r="G14" s="41"/>
      <c r="H14" s="42"/>
      <c r="I14" s="6"/>
      <c r="J14" s="6"/>
    </row>
    <row r="15" spans="1:10" ht="14.25" customHeight="1" x14ac:dyDescent="0.25">
      <c r="A15" s="15" t="s">
        <v>0</v>
      </c>
      <c r="B15" s="20"/>
      <c r="C15" s="20"/>
      <c r="D15" s="20"/>
      <c r="E15" s="20"/>
      <c r="F15" s="40"/>
      <c r="G15" s="40"/>
      <c r="H15" s="42"/>
      <c r="I15" s="7"/>
      <c r="J15" s="7"/>
    </row>
    <row r="16" spans="1:10" ht="14.25" customHeight="1" x14ac:dyDescent="0.25">
      <c r="A16" s="17" t="s">
        <v>14</v>
      </c>
      <c r="B16" s="52">
        <f>'2016 Redd &amp; Spawner Abundance'!B13</f>
        <v>180</v>
      </c>
      <c r="C16" s="20">
        <v>15</v>
      </c>
      <c r="D16" s="20">
        <v>90</v>
      </c>
      <c r="E16" s="8">
        <v>0.111</v>
      </c>
      <c r="F16" s="39">
        <f>SUM(C16:D16)-G16</f>
        <v>13.334999999999994</v>
      </c>
      <c r="G16" s="39">
        <f>D16+E16*C16</f>
        <v>91.665000000000006</v>
      </c>
      <c r="H16" s="42">
        <f>G16/SUM(F16:G16)</f>
        <v>0.87300000000000011</v>
      </c>
      <c r="I16" s="6">
        <f>H16-(1.96*(SQRT(H16*(1-H16)/SUM(F16:G16))))</f>
        <v>0.80931012388142065</v>
      </c>
      <c r="J16" s="6">
        <f>H16+(1.96*(SQRT(H16*(1-I16)/SUM(F16:G16))))</f>
        <v>0.95104271364840942</v>
      </c>
    </row>
    <row r="17" spans="1:10" ht="14.25" customHeight="1" x14ac:dyDescent="0.25">
      <c r="A17" s="17" t="s">
        <v>73</v>
      </c>
      <c r="B17" s="52">
        <f>'2016 Redd &amp; Spawner Abundance'!B14</f>
        <v>1117</v>
      </c>
      <c r="C17" s="21">
        <v>209</v>
      </c>
      <c r="D17" s="21">
        <v>90</v>
      </c>
      <c r="E17" s="8">
        <v>3.1E-2</v>
      </c>
      <c r="F17" s="39">
        <f>SUM(C17:D17)-G17</f>
        <v>202.52100000000002</v>
      </c>
      <c r="G17" s="39">
        <f>D17+E17*C17</f>
        <v>96.478999999999999</v>
      </c>
      <c r="H17" s="42">
        <f>G17/SUM(F17:G17)</f>
        <v>0.32267224080267559</v>
      </c>
      <c r="I17" s="6">
        <f>H17-(1.96*(SQRT(H17*(1-H17)/SUM(F17:G17))))</f>
        <v>0.26968141139077312</v>
      </c>
      <c r="J17" s="6">
        <f>H17+(1.96*(SQRT(H17*(1-I17)/SUM(F17:G17))))</f>
        <v>0.37769691212924511</v>
      </c>
    </row>
    <row r="18" spans="1:10" ht="14.25" customHeight="1" x14ac:dyDescent="0.25">
      <c r="A18" s="17" t="s">
        <v>1</v>
      </c>
      <c r="B18" s="52">
        <f>'2016 Redd &amp; Spawner Abundance'!B15</f>
        <v>293</v>
      </c>
      <c r="C18" s="20">
        <v>4</v>
      </c>
      <c r="D18" s="20">
        <v>42</v>
      </c>
      <c r="E18" s="8">
        <v>0</v>
      </c>
      <c r="F18" s="39">
        <f>SUM(C18:D18)-G18</f>
        <v>4</v>
      </c>
      <c r="G18" s="39">
        <f>D18+E18*C18</f>
        <v>42</v>
      </c>
      <c r="H18" s="42">
        <f>G18/SUM(F18:G18)</f>
        <v>0.91304347826086951</v>
      </c>
      <c r="I18" s="6">
        <f>H18-(1.96*(SQRT(H18*(1-H18)/SUM(F18:G18))))</f>
        <v>0.83161544137497467</v>
      </c>
      <c r="J18" s="6">
        <f>H18+(1.96*(SQRT(H18*(1-I18)/SUM(F18:G18))))</f>
        <v>1.0263549854619036</v>
      </c>
    </row>
    <row r="19" spans="1:10" ht="14.25" customHeight="1" x14ac:dyDescent="0.25">
      <c r="D19" s="144" t="s">
        <v>47</v>
      </c>
      <c r="E19" s="144"/>
      <c r="F19" s="144"/>
      <c r="G19" s="144"/>
      <c r="H19" s="42">
        <f>(H16*B16+H17*B17+H18*B18)/SUM(B16:B18)</f>
        <v>0.49376517742580089</v>
      </c>
      <c r="I19" s="6"/>
      <c r="J19" s="6"/>
    </row>
    <row r="20" spans="1:10" ht="14.25" customHeight="1" x14ac:dyDescent="0.25">
      <c r="D20" s="144" t="s">
        <v>99</v>
      </c>
      <c r="E20" s="144"/>
      <c r="F20" s="144"/>
      <c r="G20" s="144"/>
      <c r="H20" s="42">
        <f>(H16*B16+H17*B17)/SUM(B16:B17)</f>
        <v>0.39904772010531125</v>
      </c>
      <c r="I20" s="6"/>
      <c r="J20" s="6"/>
    </row>
    <row r="21" spans="1:10" ht="14.25" customHeight="1" x14ac:dyDescent="0.25">
      <c r="E21" s="44"/>
      <c r="F21" s="44"/>
      <c r="G21" s="44"/>
      <c r="H21" s="3"/>
      <c r="I21" s="6"/>
      <c r="J21" s="6"/>
    </row>
    <row r="22" spans="1:10" ht="14.25" customHeight="1" x14ac:dyDescent="0.25">
      <c r="A22" s="15" t="s">
        <v>16</v>
      </c>
      <c r="B22" s="20"/>
      <c r="C22" s="20"/>
      <c r="D22" s="20"/>
      <c r="E22" s="20"/>
      <c r="F22" s="40"/>
      <c r="G22" s="40"/>
      <c r="H22" s="42"/>
      <c r="I22" s="7"/>
      <c r="J22" s="7"/>
    </row>
    <row r="23" spans="1:10" ht="14.25" customHeight="1" x14ac:dyDescent="0.25">
      <c r="A23" s="17" t="s">
        <v>17</v>
      </c>
      <c r="B23" s="21">
        <f>'2016 Redd &amp; Spawner Abundance'!B18</f>
        <v>7</v>
      </c>
      <c r="C23" s="20">
        <v>33</v>
      </c>
      <c r="D23" s="20">
        <v>96</v>
      </c>
      <c r="E23" s="8">
        <v>0.13800000000000001</v>
      </c>
      <c r="F23" s="39">
        <f>SUM(C23:D23)-G23</f>
        <v>28.445999999999998</v>
      </c>
      <c r="G23" s="39">
        <f>D23+E23*C23</f>
        <v>100.554</v>
      </c>
      <c r="H23" s="42">
        <f>G23/SUM(F23:G23)</f>
        <v>0.77948837209302324</v>
      </c>
      <c r="I23" s="6">
        <f>H23-(1.96*(SQRT(H23*(1-H23)/SUM(F23:G23))))</f>
        <v>0.70794296083595865</v>
      </c>
      <c r="J23" s="6">
        <f>H23+(1.96*(SQRT(H23*(1-I23)/SUM(F23:G23))))</f>
        <v>0.86182628906088166</v>
      </c>
    </row>
    <row r="24" spans="1:10" ht="14.25" customHeight="1" x14ac:dyDescent="0.25">
      <c r="A24" s="17" t="s">
        <v>4</v>
      </c>
      <c r="B24" s="21">
        <f>'2016 Redd &amp; Spawner Abundance'!B19</f>
        <v>0</v>
      </c>
      <c r="C24" s="20">
        <v>0</v>
      </c>
      <c r="D24" s="20">
        <v>0</v>
      </c>
      <c r="E24" s="8">
        <v>0.2</v>
      </c>
      <c r="F24" s="39">
        <f>SUM(C24:D24)-G24</f>
        <v>0</v>
      </c>
      <c r="G24" s="39">
        <f>D24+E24*C24</f>
        <v>0</v>
      </c>
      <c r="H24" s="45">
        <v>0</v>
      </c>
      <c r="I24" s="45">
        <v>0</v>
      </c>
      <c r="J24" s="45">
        <v>0</v>
      </c>
    </row>
    <row r="25" spans="1:10" ht="14.25" customHeight="1" x14ac:dyDescent="0.25">
      <c r="A25" s="17" t="s">
        <v>3</v>
      </c>
      <c r="B25" s="21">
        <v>40</v>
      </c>
      <c r="C25" s="20">
        <v>32</v>
      </c>
      <c r="D25" s="20">
        <v>2</v>
      </c>
      <c r="E25" s="8">
        <v>3.7999999999999999E-2</v>
      </c>
      <c r="F25" s="39">
        <f>SUM(C25:D25)-G25</f>
        <v>30.783999999999999</v>
      </c>
      <c r="G25" s="39">
        <f>D25+E25*C25</f>
        <v>3.2160000000000002</v>
      </c>
      <c r="H25" s="42">
        <f>G25/SUM(F25:G25)</f>
        <v>9.4588235294117654E-2</v>
      </c>
      <c r="I25" s="6">
        <f>H25-(1.96*(SQRT(H25*(1-H25)/SUM(F25:G25))))</f>
        <v>-3.780761206725769E-3</v>
      </c>
      <c r="J25" s="6">
        <v>0.17</v>
      </c>
    </row>
    <row r="26" spans="1:10" ht="14.25" customHeight="1" x14ac:dyDescent="0.25">
      <c r="A26" s="17" t="s">
        <v>5</v>
      </c>
      <c r="B26" s="124" t="s">
        <v>30</v>
      </c>
      <c r="C26" s="124" t="s">
        <v>30</v>
      </c>
      <c r="D26" s="124" t="s">
        <v>30</v>
      </c>
      <c r="E26" s="8">
        <v>0</v>
      </c>
      <c r="F26" s="124" t="s">
        <v>30</v>
      </c>
      <c r="G26" s="124" t="s">
        <v>30</v>
      </c>
      <c r="H26" s="124" t="s">
        <v>30</v>
      </c>
      <c r="I26" s="124" t="s">
        <v>30</v>
      </c>
      <c r="J26" s="124" t="s">
        <v>30</v>
      </c>
    </row>
    <row r="27" spans="1:10" ht="14.25" customHeight="1" x14ac:dyDescent="0.25">
      <c r="A27" s="17" t="s">
        <v>18</v>
      </c>
      <c r="B27" s="124" t="s">
        <v>30</v>
      </c>
      <c r="C27" s="124" t="s">
        <v>30</v>
      </c>
      <c r="D27" s="124" t="s">
        <v>30</v>
      </c>
      <c r="E27" s="8">
        <v>0</v>
      </c>
      <c r="F27" s="124" t="s">
        <v>30</v>
      </c>
      <c r="G27" s="124" t="s">
        <v>30</v>
      </c>
      <c r="H27" s="124" t="s">
        <v>30</v>
      </c>
      <c r="I27" s="124" t="s">
        <v>30</v>
      </c>
      <c r="J27" s="124" t="s">
        <v>30</v>
      </c>
    </row>
    <row r="28" spans="1:10" ht="14.25" customHeight="1" x14ac:dyDescent="0.25">
      <c r="A28" s="43"/>
      <c r="B28" s="43"/>
      <c r="C28" s="43"/>
      <c r="D28" s="43"/>
      <c r="E28" s="141" t="s">
        <v>47</v>
      </c>
      <c r="F28" s="141"/>
      <c r="G28" s="141"/>
      <c r="H28" s="125" t="s">
        <v>30</v>
      </c>
      <c r="I28" s="43"/>
      <c r="J28" s="43"/>
    </row>
    <row r="29" spans="1:10" ht="14.25" customHeight="1" x14ac:dyDescent="0.25">
      <c r="H29" s="18"/>
      <c r="I29" s="18"/>
      <c r="J29" s="18"/>
    </row>
    <row r="30" spans="1:10" ht="14.25" customHeight="1" x14ac:dyDescent="0.25">
      <c r="H30" s="14"/>
      <c r="I30" s="14"/>
      <c r="J30" s="14"/>
    </row>
    <row r="31" spans="1:10" ht="14.25" customHeight="1" x14ac:dyDescent="0.25">
      <c r="G31" s="4"/>
      <c r="H31" s="4"/>
      <c r="I31" s="4"/>
      <c r="J31" s="4"/>
    </row>
    <row r="34" spans="7:7" ht="14.25" customHeight="1" x14ac:dyDescent="0.25">
      <c r="G34" s="18"/>
    </row>
    <row r="37" spans="7:7" ht="14.25" customHeight="1" x14ac:dyDescent="0.25">
      <c r="G37" s="14"/>
    </row>
  </sheetData>
  <mergeCells count="6">
    <mergeCell ref="E28:G28"/>
    <mergeCell ref="A1:J2"/>
    <mergeCell ref="E8:G8"/>
    <mergeCell ref="E13:G13"/>
    <mergeCell ref="D19:G19"/>
    <mergeCell ref="D20:G20"/>
  </mergeCells>
  <pageMargins left="0.7" right="0.7" top="0.75" bottom="0.75" header="0.3" footer="0.3"/>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election activeCell="F9" sqref="F9"/>
    </sheetView>
  </sheetViews>
  <sheetFormatPr defaultRowHeight="15" x14ac:dyDescent="0.25"/>
  <cols>
    <col min="1" max="1" width="38.28515625" style="11" customWidth="1"/>
    <col min="2" max="2" width="9.140625" style="11"/>
    <col min="3" max="3" width="11.7109375" style="11" customWidth="1"/>
    <col min="4" max="4" width="7.5703125" style="11" customWidth="1"/>
    <col min="5" max="16384" width="9.140625" style="11"/>
  </cols>
  <sheetData>
    <row r="1" spans="1:6" ht="75" customHeight="1" x14ac:dyDescent="0.25">
      <c r="A1" s="147" t="s">
        <v>256</v>
      </c>
      <c r="B1" s="147"/>
      <c r="C1" s="147"/>
      <c r="D1" s="147"/>
      <c r="E1" s="147"/>
      <c r="F1" s="147"/>
    </row>
    <row r="2" spans="1:6" ht="66.75" customHeight="1" x14ac:dyDescent="0.25">
      <c r="A2" s="12" t="s">
        <v>46</v>
      </c>
      <c r="B2" s="13" t="s">
        <v>77</v>
      </c>
      <c r="C2" s="13" t="s">
        <v>26</v>
      </c>
      <c r="D2" s="13" t="s">
        <v>27</v>
      </c>
      <c r="E2" s="13" t="s">
        <v>28</v>
      </c>
      <c r="F2" s="13" t="s">
        <v>29</v>
      </c>
    </row>
    <row r="3" spans="1:6" ht="14.25" customHeight="1" x14ac:dyDescent="0.25">
      <c r="A3" s="14"/>
      <c r="B3" s="14"/>
      <c r="C3" s="14"/>
      <c r="D3" s="14"/>
      <c r="E3" s="9"/>
      <c r="F3" s="9"/>
    </row>
    <row r="4" spans="1:6" ht="14.25" customHeight="1" x14ac:dyDescent="0.25">
      <c r="A4" s="15" t="s">
        <v>6</v>
      </c>
      <c r="B4" s="16"/>
      <c r="C4" s="16"/>
      <c r="D4" s="16"/>
      <c r="E4" s="7"/>
      <c r="F4" s="7"/>
    </row>
    <row r="5" spans="1:6" ht="14.25" customHeight="1" x14ac:dyDescent="0.25">
      <c r="A5" s="17" t="s">
        <v>75</v>
      </c>
      <c r="B5" s="21">
        <v>72</v>
      </c>
      <c r="C5" s="21">
        <v>2</v>
      </c>
      <c r="D5" s="22">
        <f>C5/B5</f>
        <v>2.7777777777777776E-2</v>
      </c>
      <c r="E5" s="46">
        <f>D5-(1.96*(SQRT(D5*(1-D5)/SUM(B5,C5))))</f>
        <v>-9.6653166276260694E-3</v>
      </c>
      <c r="F5" s="46">
        <f>D5+(1.96*(SQRT(D5*(1-D5)/SUM(B5,C5))))</f>
        <v>6.5220872183181622E-2</v>
      </c>
    </row>
    <row r="6" spans="1:6" ht="14.25" customHeight="1" x14ac:dyDescent="0.25">
      <c r="A6" s="17" t="s">
        <v>12</v>
      </c>
      <c r="B6" s="21">
        <v>58</v>
      </c>
      <c r="C6" s="21">
        <v>3</v>
      </c>
      <c r="D6" s="22">
        <f>C6/B6</f>
        <v>5.1724137931034482E-2</v>
      </c>
      <c r="E6" s="46">
        <f>D6-(1.96*(SQRT(D6*(1-D6)/SUM(B6,C6))))</f>
        <v>-3.8541459088612881E-3</v>
      </c>
      <c r="F6" s="46">
        <f>D6+(1.96*(SQRT(D6*(1-D6)/SUM(B6,C6))))</f>
        <v>0.10730242177093025</v>
      </c>
    </row>
    <row r="7" spans="1:6" ht="14.25" customHeight="1" x14ac:dyDescent="0.25">
      <c r="A7" s="17" t="s">
        <v>48</v>
      </c>
      <c r="B7" s="21">
        <f>SUM(B5:B6)</f>
        <v>130</v>
      </c>
      <c r="C7" s="21">
        <f>SUM(C5:C6)</f>
        <v>5</v>
      </c>
      <c r="D7" s="22">
        <f>C7/B7</f>
        <v>3.8461538461538464E-2</v>
      </c>
      <c r="E7" s="46">
        <f>D7-(1.96*(SQRT(D7*(1-D7)/SUM(B7,C7))))</f>
        <v>6.0211651343310413E-3</v>
      </c>
      <c r="F7" s="46">
        <f>D7+(1.96*(SQRT(D7*(1-D7)/SUM(B7,C7))))</f>
        <v>7.0901911788745886E-2</v>
      </c>
    </row>
    <row r="8" spans="1:6" ht="14.25" customHeight="1" x14ac:dyDescent="0.25">
      <c r="A8" s="14"/>
      <c r="B8" s="21"/>
      <c r="C8" s="21"/>
      <c r="D8" s="20"/>
      <c r="E8" s="7"/>
      <c r="F8" s="7"/>
    </row>
    <row r="9" spans="1:6" ht="14.25" customHeight="1" x14ac:dyDescent="0.25">
      <c r="A9" s="15" t="s">
        <v>9</v>
      </c>
      <c r="B9" s="21"/>
      <c r="C9" s="21"/>
      <c r="D9" s="22"/>
      <c r="E9" s="6"/>
      <c r="F9" s="6"/>
    </row>
    <row r="10" spans="1:6" ht="14.25" customHeight="1" x14ac:dyDescent="0.25">
      <c r="A10" s="17" t="s">
        <v>74</v>
      </c>
      <c r="B10" s="21">
        <v>530</v>
      </c>
      <c r="C10" s="21">
        <v>20</v>
      </c>
      <c r="D10" s="22">
        <f>C10/B10</f>
        <v>3.7735849056603772E-2</v>
      </c>
      <c r="E10" s="46">
        <f>D10-(1.96*(SQRT(D10*(1-D10)/SUM(B10,C10))))</f>
        <v>2.1810133932513933E-2</v>
      </c>
      <c r="F10" s="46">
        <f>D10+(1.96*(SQRT(D10*(1-D10)/SUM(B10,C10))))</f>
        <v>5.3661564180693608E-2</v>
      </c>
    </row>
    <row r="11" spans="1:6" ht="14.25" customHeight="1" x14ac:dyDescent="0.25">
      <c r="A11" s="17" t="s">
        <v>13</v>
      </c>
      <c r="B11" s="21">
        <v>47</v>
      </c>
      <c r="C11" s="21">
        <v>5</v>
      </c>
      <c r="D11" s="22">
        <f>C11/B11</f>
        <v>0.10638297872340426</v>
      </c>
      <c r="E11" s="46">
        <f>D11-(1.96*(SQRT(D11*(1-D11)/SUM(B11,C11))))</f>
        <v>2.2578700700092519E-2</v>
      </c>
      <c r="F11" s="46">
        <f>D11+(1.96*(SQRT(D11*(1-D11)/SUM(B11,C11))))</f>
        <v>0.19018725674671599</v>
      </c>
    </row>
    <row r="12" spans="1:6" ht="14.25" customHeight="1" x14ac:dyDescent="0.25">
      <c r="A12" s="17" t="s">
        <v>48</v>
      </c>
      <c r="B12" s="21">
        <f>SUM(B10:B11)</f>
        <v>577</v>
      </c>
      <c r="C12" s="21">
        <f>SUM(C10:C11)</f>
        <v>25</v>
      </c>
      <c r="D12" s="22">
        <f>C12/B12</f>
        <v>4.3327556325823226E-2</v>
      </c>
      <c r="E12" s="46">
        <f>D12-(1.96*(SQRT(D12*(1-D12)/SUM(B12,C12))))</f>
        <v>2.7063773899139939E-2</v>
      </c>
      <c r="F12" s="46">
        <f>D12+(1.96*(SQRT(D12*(1-D12)/SUM(B12,C12))))</f>
        <v>5.9591338752506509E-2</v>
      </c>
    </row>
    <row r="13" spans="1:6" ht="14.25" customHeight="1" x14ac:dyDescent="0.25">
      <c r="A13" s="17"/>
      <c r="B13" s="21"/>
      <c r="C13" s="21"/>
      <c r="D13" s="22"/>
      <c r="E13" s="6"/>
      <c r="F13" s="6"/>
    </row>
    <row r="14" spans="1:6" ht="14.25" customHeight="1" x14ac:dyDescent="0.25">
      <c r="A14" s="15" t="s">
        <v>0</v>
      </c>
      <c r="B14" s="21"/>
      <c r="C14" s="21"/>
      <c r="D14" s="22"/>
      <c r="E14" s="6"/>
      <c r="F14" s="6"/>
    </row>
    <row r="15" spans="1:6" ht="14.25" customHeight="1" x14ac:dyDescent="0.25">
      <c r="A15" s="17" t="s">
        <v>14</v>
      </c>
      <c r="B15" s="21">
        <v>60</v>
      </c>
      <c r="C15" s="21">
        <v>10</v>
      </c>
      <c r="D15" s="22">
        <f>C15/B15</f>
        <v>0.16666666666666666</v>
      </c>
      <c r="E15" s="46">
        <f>D15-(1.96*(SQRT(D15*(1-D15)/SUM(B15,C15))))</f>
        <v>7.9361327641941357E-2</v>
      </c>
      <c r="F15" s="46">
        <f>D15+(1.96*(SQRT(D15*(1-D15)/SUM(B15,C15))))</f>
        <v>0.25397200569139194</v>
      </c>
    </row>
    <row r="16" spans="1:6" ht="14.25" customHeight="1" x14ac:dyDescent="0.25">
      <c r="A16" s="17" t="s">
        <v>76</v>
      </c>
      <c r="B16" s="21">
        <v>181</v>
      </c>
      <c r="C16" s="21">
        <v>0</v>
      </c>
      <c r="D16" s="22">
        <f>C16/B16</f>
        <v>0</v>
      </c>
      <c r="E16" s="46">
        <f>D16-(1.96*(SQRT(D16*(1-D16)/SUM(B16,C16))))</f>
        <v>0</v>
      </c>
      <c r="F16" s="46">
        <f>D16+(1.96*(SQRT(D16*(1-D16)/SUM(B16,C16))))</f>
        <v>0</v>
      </c>
    </row>
    <row r="17" spans="1:9" ht="14.25" customHeight="1" x14ac:dyDescent="0.25">
      <c r="A17" s="17" t="s">
        <v>1</v>
      </c>
      <c r="B17" s="21">
        <v>34</v>
      </c>
      <c r="C17" s="21">
        <v>0</v>
      </c>
      <c r="D17" s="22">
        <f>C17/B17</f>
        <v>0</v>
      </c>
      <c r="E17" s="46">
        <f>D17-(1.96*(SQRT(D17*(1-D17)/SUM(B17,C17))))</f>
        <v>0</v>
      </c>
      <c r="F17" s="46">
        <f>D17+(1.96*(SQRT(D17*(1-D17)/SUM(B17,C17))))</f>
        <v>0</v>
      </c>
    </row>
    <row r="18" spans="1:9" ht="14.25" customHeight="1" x14ac:dyDescent="0.25">
      <c r="A18" s="17" t="s">
        <v>48</v>
      </c>
      <c r="B18" s="21">
        <f>SUM(B15:B17)</f>
        <v>275</v>
      </c>
      <c r="C18" s="21">
        <f>SUM(C15:C17)</f>
        <v>10</v>
      </c>
      <c r="D18" s="22">
        <f>C18/B18</f>
        <v>3.6363636363636362E-2</v>
      </c>
      <c r="E18" s="46">
        <f>D18-(1.96*(SQRT(D18*(1-D18)/SUM(B18,C18))))</f>
        <v>1.4630425961310513E-2</v>
      </c>
      <c r="F18" s="46">
        <f>D18+(1.96*(SQRT(D18*(1-D18)/SUM(B18,C18))))</f>
        <v>5.8096846765962211E-2</v>
      </c>
    </row>
    <row r="19" spans="1:9" ht="14.25" customHeight="1" x14ac:dyDescent="0.25">
      <c r="A19" s="5"/>
      <c r="B19" s="21"/>
      <c r="C19" s="21"/>
      <c r="D19" s="22"/>
      <c r="E19" s="6"/>
      <c r="F19" s="6"/>
    </row>
    <row r="20" spans="1:9" ht="14.25" customHeight="1" x14ac:dyDescent="0.25">
      <c r="A20" s="15" t="s">
        <v>16</v>
      </c>
      <c r="B20" s="21"/>
      <c r="C20" s="21"/>
      <c r="D20" s="22"/>
      <c r="E20" s="6"/>
      <c r="F20" s="6"/>
    </row>
    <row r="21" spans="1:9" ht="14.25" customHeight="1" x14ac:dyDescent="0.25">
      <c r="A21" s="17" t="s">
        <v>17</v>
      </c>
      <c r="B21" s="21">
        <v>52</v>
      </c>
      <c r="C21" s="21">
        <v>50</v>
      </c>
      <c r="D21" s="22">
        <f t="shared" ref="D21:D26" si="0">C21/B21</f>
        <v>0.96153846153846156</v>
      </c>
      <c r="E21" s="46">
        <f t="shared" ref="E21:E26" si="1">D21-(1.96*(SQRT(D21*(1-D21)/SUM(B21,C21))))</f>
        <v>0.9242175156878023</v>
      </c>
      <c r="F21" s="46">
        <f t="shared" ref="F21:F26" si="2">D21+(1.96*(SQRT(D21*(1-D21)/SUM(B21,C21))))</f>
        <v>0.99885940738912082</v>
      </c>
    </row>
    <row r="22" spans="1:9" ht="14.25" customHeight="1" x14ac:dyDescent="0.25">
      <c r="A22" s="17" t="s">
        <v>4</v>
      </c>
      <c r="B22" s="21">
        <v>0</v>
      </c>
      <c r="C22" s="21">
        <v>0</v>
      </c>
      <c r="D22" s="51" t="s">
        <v>30</v>
      </c>
      <c r="E22" s="51" t="s">
        <v>30</v>
      </c>
      <c r="F22" s="51" t="s">
        <v>30</v>
      </c>
    </row>
    <row r="23" spans="1:9" ht="14.25" customHeight="1" x14ac:dyDescent="0.25">
      <c r="A23" s="17" t="s">
        <v>3</v>
      </c>
      <c r="B23" s="21">
        <v>20</v>
      </c>
      <c r="C23" s="21">
        <v>3</v>
      </c>
      <c r="D23" s="22">
        <f t="shared" si="0"/>
        <v>0.15</v>
      </c>
      <c r="E23" s="46">
        <f t="shared" si="1"/>
        <v>4.0691050978014232E-3</v>
      </c>
      <c r="F23" s="46">
        <f t="shared" si="2"/>
        <v>0.29593089490219859</v>
      </c>
    </row>
    <row r="24" spans="1:9" ht="14.25" customHeight="1" x14ac:dyDescent="0.25">
      <c r="A24" s="17" t="s">
        <v>5</v>
      </c>
      <c r="B24" s="126" t="s">
        <v>30</v>
      </c>
      <c r="C24" s="126" t="s">
        <v>30</v>
      </c>
      <c r="D24" s="126" t="s">
        <v>30</v>
      </c>
      <c r="E24" s="126" t="s">
        <v>30</v>
      </c>
      <c r="F24" s="126" t="s">
        <v>30</v>
      </c>
    </row>
    <row r="25" spans="1:9" ht="14.25" customHeight="1" x14ac:dyDescent="0.25">
      <c r="A25" s="17" t="s">
        <v>18</v>
      </c>
      <c r="B25" s="126" t="s">
        <v>30</v>
      </c>
      <c r="C25" s="126" t="s">
        <v>30</v>
      </c>
      <c r="D25" s="126" t="s">
        <v>30</v>
      </c>
      <c r="E25" s="126" t="s">
        <v>30</v>
      </c>
      <c r="F25" s="126" t="s">
        <v>30</v>
      </c>
    </row>
    <row r="26" spans="1:9" ht="14.25" customHeight="1" x14ac:dyDescent="0.25">
      <c r="A26" s="19" t="s">
        <v>48</v>
      </c>
      <c r="B26" s="2">
        <f>SUM(B21:B25)</f>
        <v>72</v>
      </c>
      <c r="C26" s="2">
        <f>SUM(C21:C25)</f>
        <v>53</v>
      </c>
      <c r="D26" s="24">
        <f t="shared" si="0"/>
        <v>0.73611111111111116</v>
      </c>
      <c r="E26" s="47">
        <f t="shared" si="1"/>
        <v>0.65884602308837936</v>
      </c>
      <c r="F26" s="47">
        <f t="shared" si="2"/>
        <v>0.81337619913384296</v>
      </c>
    </row>
    <row r="27" spans="1:9" ht="14.25" customHeight="1" x14ac:dyDescent="0.25"/>
    <row r="28" spans="1:9" ht="14.25" customHeight="1" x14ac:dyDescent="0.25"/>
    <row r="29" spans="1:9" ht="14.25" customHeight="1" x14ac:dyDescent="0.25">
      <c r="A29" s="37"/>
      <c r="B29" s="37"/>
      <c r="C29" s="37"/>
      <c r="D29" s="37"/>
      <c r="E29" s="37"/>
      <c r="F29" s="37"/>
      <c r="G29" s="37"/>
      <c r="H29" s="37"/>
      <c r="I29" s="37"/>
    </row>
    <row r="30" spans="1:9" ht="14.25" customHeight="1" x14ac:dyDescent="0.25">
      <c r="A30" s="37"/>
    </row>
    <row r="31" spans="1:9" ht="14.25" customHeight="1" x14ac:dyDescent="0.25">
      <c r="A31" s="37"/>
    </row>
    <row r="32" spans="1:9" ht="14.25" customHeight="1" x14ac:dyDescent="0.25">
      <c r="A32" s="37"/>
    </row>
    <row r="33" spans="1:1" ht="14.25" customHeight="1" x14ac:dyDescent="0.25">
      <c r="A33" s="37"/>
    </row>
    <row r="34" spans="1:1" ht="14.25" customHeight="1" x14ac:dyDescent="0.25">
      <c r="A34" s="37"/>
    </row>
    <row r="35" spans="1:1" ht="14.25" customHeight="1" x14ac:dyDescent="0.25">
      <c r="A35" s="37"/>
    </row>
    <row r="36" spans="1:1" ht="14.25" customHeight="1" x14ac:dyDescent="0.25">
      <c r="A36" s="37"/>
    </row>
    <row r="37" spans="1:1" ht="14.25" customHeight="1" x14ac:dyDescent="0.25">
      <c r="A37" s="37"/>
    </row>
    <row r="38" spans="1:1" ht="14.25" customHeight="1" x14ac:dyDescent="0.25">
      <c r="A38" s="37"/>
    </row>
    <row r="39" spans="1:1" ht="14.25" customHeight="1" x14ac:dyDescent="0.25">
      <c r="A39" s="37"/>
    </row>
    <row r="40" spans="1:1" ht="14.25" customHeight="1" x14ac:dyDescent="0.25">
      <c r="A40" s="37"/>
    </row>
    <row r="41" spans="1:1" ht="14.25" customHeight="1" x14ac:dyDescent="0.25">
      <c r="A41" s="37"/>
    </row>
    <row r="42" spans="1:1" x14ac:dyDescent="0.25">
      <c r="A42" s="37"/>
    </row>
    <row r="43" spans="1:1" x14ac:dyDescent="0.25">
      <c r="A43" s="37"/>
    </row>
    <row r="44" spans="1:1" x14ac:dyDescent="0.25">
      <c r="A44" s="37"/>
    </row>
    <row r="45" spans="1:1" x14ac:dyDescent="0.25">
      <c r="A45" s="37"/>
    </row>
    <row r="46" spans="1:1" x14ac:dyDescent="0.25">
      <c r="A46" s="37"/>
    </row>
    <row r="47" spans="1:1" x14ac:dyDescent="0.25">
      <c r="A47" s="37"/>
    </row>
  </sheetData>
  <mergeCells count="1">
    <mergeCell ref="A1:F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workbookViewId="0">
      <selection activeCell="M19" sqref="M19"/>
    </sheetView>
  </sheetViews>
  <sheetFormatPr defaultRowHeight="15" x14ac:dyDescent="0.25"/>
  <cols>
    <col min="1" max="1" width="16.7109375" customWidth="1"/>
    <col min="2" max="2" width="37.5703125" customWidth="1"/>
    <col min="6" max="6" width="3.140625" style="50" customWidth="1"/>
    <col min="7" max="9" width="9.140625" style="50"/>
    <col min="10" max="10" width="12.5703125" customWidth="1"/>
  </cols>
  <sheetData>
    <row r="1" spans="1:11" ht="34.5" customHeight="1" x14ac:dyDescent="0.25">
      <c r="A1" s="27" t="s">
        <v>260</v>
      </c>
      <c r="B1" s="27"/>
      <c r="C1" s="27"/>
      <c r="D1" s="27"/>
      <c r="E1" s="27"/>
      <c r="F1" s="27"/>
      <c r="G1" s="27"/>
      <c r="H1" s="27"/>
      <c r="I1" s="27"/>
      <c r="J1" s="27"/>
    </row>
    <row r="2" spans="1:11" ht="15.75" customHeight="1" x14ac:dyDescent="0.25">
      <c r="A2" s="148" t="s">
        <v>33</v>
      </c>
      <c r="B2" s="148" t="s">
        <v>38</v>
      </c>
      <c r="C2" s="148" t="s">
        <v>41</v>
      </c>
      <c r="D2" s="148"/>
      <c r="E2" s="148"/>
      <c r="F2" s="148"/>
      <c r="G2" s="148"/>
      <c r="H2" s="148"/>
      <c r="I2" s="148"/>
      <c r="J2" s="148"/>
    </row>
    <row r="3" spans="1:11" s="50" customFormat="1" ht="15.75" customHeight="1" x14ac:dyDescent="0.25">
      <c r="A3" s="149"/>
      <c r="B3" s="149"/>
      <c r="C3" s="150" t="s">
        <v>21</v>
      </c>
      <c r="D3" s="150"/>
      <c r="E3" s="150"/>
      <c r="F3" s="54"/>
      <c r="G3" s="150" t="s">
        <v>20</v>
      </c>
      <c r="H3" s="150"/>
      <c r="I3" s="150"/>
      <c r="J3" s="54"/>
    </row>
    <row r="4" spans="1:11" ht="15.75" x14ac:dyDescent="0.25">
      <c r="A4" s="150"/>
      <c r="B4" s="150"/>
      <c r="C4" s="29" t="s">
        <v>39</v>
      </c>
      <c r="D4" s="29" t="s">
        <v>40</v>
      </c>
      <c r="E4" s="29" t="s">
        <v>22</v>
      </c>
      <c r="F4" s="29"/>
      <c r="G4" s="29" t="s">
        <v>39</v>
      </c>
      <c r="H4" s="29" t="s">
        <v>40</v>
      </c>
      <c r="I4" s="29" t="s">
        <v>22</v>
      </c>
      <c r="J4" s="29" t="s">
        <v>2</v>
      </c>
    </row>
    <row r="5" spans="1:11" s="32" customFormat="1" ht="15.75" x14ac:dyDescent="0.25">
      <c r="A5" s="30"/>
      <c r="B5" s="30"/>
      <c r="C5" s="31"/>
      <c r="D5" s="31"/>
      <c r="E5" s="31"/>
      <c r="F5" s="31"/>
      <c r="G5" s="31"/>
      <c r="H5" s="31"/>
      <c r="I5" s="31"/>
      <c r="J5" s="31"/>
    </row>
    <row r="6" spans="1:11" ht="15.75" x14ac:dyDescent="0.25">
      <c r="A6" s="145" t="s">
        <v>6</v>
      </c>
      <c r="B6" s="27" t="s">
        <v>89</v>
      </c>
      <c r="C6" s="38">
        <v>307</v>
      </c>
      <c r="D6" s="38">
        <v>214</v>
      </c>
      <c r="E6" s="38">
        <v>8</v>
      </c>
      <c r="F6" s="38"/>
      <c r="G6" s="38">
        <v>0</v>
      </c>
      <c r="H6" s="38">
        <v>0</v>
      </c>
      <c r="I6" s="38">
        <v>0</v>
      </c>
      <c r="J6" s="38">
        <f>SUM(C6:I6)</f>
        <v>529</v>
      </c>
    </row>
    <row r="7" spans="1:11" s="50" customFormat="1" ht="15.75" x14ac:dyDescent="0.25">
      <c r="A7" s="145"/>
      <c r="B7" s="27" t="s">
        <v>92</v>
      </c>
      <c r="C7" s="38">
        <v>0</v>
      </c>
      <c r="D7" s="38">
        <v>0</v>
      </c>
      <c r="E7" s="38">
        <v>0</v>
      </c>
      <c r="F7" s="38"/>
      <c r="G7" s="38">
        <v>146</v>
      </c>
      <c r="H7" s="38">
        <v>321</v>
      </c>
      <c r="I7" s="38">
        <v>0</v>
      </c>
      <c r="J7" s="38">
        <f>SUM(F7:I7)</f>
        <v>467</v>
      </c>
    </row>
    <row r="8" spans="1:11" ht="15.75" x14ac:dyDescent="0.25">
      <c r="A8" s="145"/>
      <c r="B8" s="27" t="s">
        <v>90</v>
      </c>
      <c r="C8" s="38">
        <v>0</v>
      </c>
      <c r="D8" s="38">
        <v>0</v>
      </c>
      <c r="E8" s="38">
        <v>0</v>
      </c>
      <c r="F8" s="38"/>
      <c r="G8" s="38">
        <v>30</v>
      </c>
      <c r="H8" s="38">
        <v>30</v>
      </c>
      <c r="I8" s="38">
        <v>0</v>
      </c>
      <c r="J8" s="38">
        <f>SUM(C8:I8)</f>
        <v>60</v>
      </c>
    </row>
    <row r="9" spans="1:11" s="50" customFormat="1" ht="15.75" x14ac:dyDescent="0.25">
      <c r="A9" s="145"/>
      <c r="B9" s="27" t="s">
        <v>91</v>
      </c>
      <c r="C9" s="38">
        <v>0</v>
      </c>
      <c r="D9" s="38">
        <v>0</v>
      </c>
      <c r="E9" s="38">
        <v>0</v>
      </c>
      <c r="F9" s="38"/>
      <c r="G9" s="38">
        <v>258</v>
      </c>
      <c r="H9" s="38">
        <v>453</v>
      </c>
      <c r="I9" s="38">
        <v>0</v>
      </c>
      <c r="J9" s="38">
        <f>SUM(C9:I9)</f>
        <v>711</v>
      </c>
    </row>
    <row r="10" spans="1:11" ht="15.75" x14ac:dyDescent="0.25">
      <c r="A10" s="49"/>
      <c r="B10" s="1"/>
      <c r="C10" s="38"/>
      <c r="D10" s="38"/>
      <c r="E10" s="38"/>
      <c r="F10" s="38"/>
      <c r="G10" s="38"/>
      <c r="H10" s="38"/>
      <c r="I10" s="38"/>
      <c r="J10" s="38"/>
    </row>
    <row r="11" spans="1:11" ht="15.75" x14ac:dyDescent="0.25">
      <c r="A11" s="145" t="s">
        <v>9</v>
      </c>
      <c r="B11" s="27" t="s">
        <v>95</v>
      </c>
      <c r="C11" s="38" t="s">
        <v>261</v>
      </c>
      <c r="D11" s="38" t="s">
        <v>261</v>
      </c>
      <c r="E11" s="38" t="s">
        <v>261</v>
      </c>
      <c r="F11" s="38"/>
      <c r="G11" s="38">
        <v>0</v>
      </c>
      <c r="H11" s="38">
        <v>0</v>
      </c>
      <c r="I11" s="38">
        <v>0</v>
      </c>
      <c r="J11" s="38"/>
    </row>
    <row r="12" spans="1:11" ht="15.75" x14ac:dyDescent="0.25">
      <c r="A12" s="145"/>
      <c r="B12" s="27" t="s">
        <v>36</v>
      </c>
      <c r="C12" s="38">
        <v>144</v>
      </c>
      <c r="D12" s="38">
        <v>105</v>
      </c>
      <c r="E12" s="38">
        <v>0</v>
      </c>
      <c r="F12" s="38"/>
      <c r="G12" s="38">
        <v>0</v>
      </c>
      <c r="H12" s="38">
        <v>0</v>
      </c>
      <c r="I12" s="38">
        <v>0</v>
      </c>
      <c r="J12" s="38">
        <f>SUM(C12:I12)</f>
        <v>249</v>
      </c>
      <c r="K12" t="s">
        <v>264</v>
      </c>
    </row>
    <row r="13" spans="1:11" ht="15.75" x14ac:dyDescent="0.25">
      <c r="A13" s="145"/>
      <c r="B13" s="27" t="s">
        <v>37</v>
      </c>
      <c r="C13" s="38" t="s">
        <v>261</v>
      </c>
      <c r="D13" s="38" t="s">
        <v>261</v>
      </c>
      <c r="E13" s="38" t="s">
        <v>261</v>
      </c>
      <c r="F13" s="38"/>
      <c r="G13" s="38">
        <v>0</v>
      </c>
      <c r="H13" s="38">
        <v>0</v>
      </c>
      <c r="I13" s="38">
        <v>0</v>
      </c>
      <c r="J13" s="38"/>
    </row>
    <row r="14" spans="1:11" ht="15.75" x14ac:dyDescent="0.25">
      <c r="A14" s="49"/>
      <c r="B14" s="1"/>
      <c r="C14" s="38"/>
      <c r="D14" s="38"/>
      <c r="E14" s="38"/>
      <c r="F14" s="38"/>
      <c r="G14" s="38"/>
      <c r="H14" s="38"/>
      <c r="I14" s="38"/>
      <c r="J14" s="38"/>
    </row>
    <row r="15" spans="1:11" ht="15.75" x14ac:dyDescent="0.25">
      <c r="A15" s="145" t="s">
        <v>35</v>
      </c>
      <c r="B15" s="27" t="s">
        <v>262</v>
      </c>
      <c r="C15" s="38">
        <v>0</v>
      </c>
      <c r="D15" s="38">
        <v>0</v>
      </c>
      <c r="E15" s="38">
        <v>0</v>
      </c>
      <c r="F15" s="38"/>
      <c r="G15" s="38">
        <v>151</v>
      </c>
      <c r="H15" s="38">
        <v>324</v>
      </c>
      <c r="I15" s="38">
        <v>0</v>
      </c>
      <c r="J15" s="38">
        <f>SUM(F15:I15)</f>
        <v>475</v>
      </c>
    </row>
    <row r="16" spans="1:11" ht="15.75" x14ac:dyDescent="0.25">
      <c r="A16" s="145"/>
      <c r="B16" s="27" t="s">
        <v>49</v>
      </c>
      <c r="C16" s="38">
        <v>107</v>
      </c>
      <c r="D16" s="38">
        <v>65</v>
      </c>
      <c r="E16" s="38">
        <v>2</v>
      </c>
      <c r="F16" s="38"/>
      <c r="G16" s="38">
        <v>49</v>
      </c>
      <c r="H16" s="38">
        <v>21</v>
      </c>
      <c r="I16" s="38">
        <v>0</v>
      </c>
      <c r="J16" s="38">
        <f>SUM(C16:I16)</f>
        <v>244</v>
      </c>
    </row>
    <row r="17" spans="1:10" ht="15.75" x14ac:dyDescent="0.25">
      <c r="A17" s="49"/>
      <c r="B17" s="1"/>
      <c r="C17" s="38"/>
      <c r="D17" s="38"/>
      <c r="E17" s="38"/>
      <c r="F17" s="38"/>
      <c r="G17" s="38"/>
      <c r="H17" s="38"/>
      <c r="I17" s="38"/>
      <c r="J17" s="38"/>
    </row>
    <row r="18" spans="1:10" ht="15.75" x14ac:dyDescent="0.25">
      <c r="A18" s="145" t="s">
        <v>16</v>
      </c>
      <c r="B18" s="27" t="s">
        <v>3</v>
      </c>
      <c r="C18" s="138">
        <v>201</v>
      </c>
      <c r="D18" s="138">
        <v>185</v>
      </c>
      <c r="E18" s="138">
        <v>38</v>
      </c>
      <c r="F18" s="38"/>
      <c r="G18" s="38">
        <v>0</v>
      </c>
      <c r="H18" s="38">
        <v>0</v>
      </c>
      <c r="I18" s="38">
        <v>0</v>
      </c>
      <c r="J18" s="38">
        <f>SUM(C18:I18)</f>
        <v>424</v>
      </c>
    </row>
    <row r="19" spans="1:10" ht="15.75" x14ac:dyDescent="0.25">
      <c r="A19" s="145"/>
      <c r="B19" s="27" t="s">
        <v>93</v>
      </c>
      <c r="C19" s="38">
        <v>0</v>
      </c>
      <c r="D19" s="38">
        <v>0</v>
      </c>
      <c r="E19" s="38">
        <v>0</v>
      </c>
      <c r="F19" s="38"/>
      <c r="G19" s="38">
        <v>345</v>
      </c>
      <c r="H19" s="38">
        <v>269</v>
      </c>
      <c r="I19" s="38">
        <v>57</v>
      </c>
      <c r="J19" s="38">
        <f>SUM(C19:I19)</f>
        <v>671</v>
      </c>
    </row>
    <row r="20" spans="1:10" ht="15.75" x14ac:dyDescent="0.25">
      <c r="A20" s="146"/>
      <c r="B20" s="28" t="s">
        <v>34</v>
      </c>
      <c r="C20" s="36">
        <v>8</v>
      </c>
      <c r="D20" s="36">
        <v>0</v>
      </c>
      <c r="E20" s="36">
        <v>0</v>
      </c>
      <c r="F20" s="36"/>
      <c r="G20" s="36">
        <v>261</v>
      </c>
      <c r="H20" s="36">
        <v>188</v>
      </c>
      <c r="I20" s="36">
        <v>9</v>
      </c>
      <c r="J20" s="36">
        <f>SUM(C20:I20)</f>
        <v>466</v>
      </c>
    </row>
  </sheetData>
  <mergeCells count="9">
    <mergeCell ref="A18:A20"/>
    <mergeCell ref="C2:J2"/>
    <mergeCell ref="A2:A4"/>
    <mergeCell ref="B2:B4"/>
    <mergeCell ref="A11:A13"/>
    <mergeCell ref="A6:A9"/>
    <mergeCell ref="A15:A16"/>
    <mergeCell ref="C3:E3"/>
    <mergeCell ref="G3:I3"/>
  </mergeCells>
  <pageMargins left="0.7" right="0.7" top="0.75" bottom="0.75" header="0.3" footer="0.3"/>
  <pageSetup scale="8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
  <sheetViews>
    <sheetView workbookViewId="0">
      <selection activeCell="L27" sqref="L27"/>
    </sheetView>
  </sheetViews>
  <sheetFormatPr defaultRowHeight="15" x14ac:dyDescent="0.25"/>
  <cols>
    <col min="1" max="1" width="13.7109375" style="37" customWidth="1"/>
    <col min="2" max="2" width="9.140625" style="37"/>
    <col min="3" max="3" width="11" style="37" customWidth="1"/>
    <col min="4" max="4" width="7.85546875" style="37" bestFit="1" customWidth="1"/>
    <col min="5" max="5" width="9.140625" style="37"/>
    <col min="6" max="6" width="10.5703125" style="37" customWidth="1"/>
    <col min="7" max="7" width="11.140625" style="37" customWidth="1"/>
    <col min="8" max="8" width="9.85546875" style="37" bestFit="1" customWidth="1"/>
    <col min="9" max="9" width="9.140625" style="37"/>
    <col min="10" max="10" width="6.42578125" style="37" bestFit="1" customWidth="1"/>
    <col min="11" max="11" width="12.5703125" style="37" customWidth="1"/>
    <col min="12" max="16384" width="9.140625" style="37"/>
  </cols>
  <sheetData>
    <row r="1" spans="1:11" x14ac:dyDescent="0.25">
      <c r="A1" s="37" t="s">
        <v>257</v>
      </c>
    </row>
    <row r="2" spans="1:11" s="53" customFormat="1" x14ac:dyDescent="0.25">
      <c r="A2" s="128"/>
      <c r="B2" s="128" t="s">
        <v>79</v>
      </c>
      <c r="C2" s="128" t="s">
        <v>80</v>
      </c>
      <c r="D2" s="128" t="s">
        <v>81</v>
      </c>
      <c r="E2" s="128" t="s">
        <v>82</v>
      </c>
      <c r="F2" s="128" t="s">
        <v>83</v>
      </c>
      <c r="G2" s="128" t="s">
        <v>84</v>
      </c>
      <c r="H2" s="128" t="s">
        <v>85</v>
      </c>
      <c r="I2" s="128" t="s">
        <v>51</v>
      </c>
      <c r="J2" s="128" t="s">
        <v>86</v>
      </c>
      <c r="K2" s="128" t="s">
        <v>87</v>
      </c>
    </row>
    <row r="3" spans="1:11" x14ac:dyDescent="0.25">
      <c r="A3" s="37" t="s">
        <v>258</v>
      </c>
      <c r="B3" s="127">
        <v>3934</v>
      </c>
      <c r="C3" s="127">
        <v>680</v>
      </c>
      <c r="D3" s="127">
        <v>4614</v>
      </c>
      <c r="E3" s="127">
        <v>3118</v>
      </c>
      <c r="F3" s="127">
        <v>761</v>
      </c>
      <c r="G3" s="127">
        <v>61</v>
      </c>
      <c r="H3" s="127">
        <v>3940</v>
      </c>
      <c r="I3" s="127">
        <v>379</v>
      </c>
      <c r="J3" s="127">
        <v>347</v>
      </c>
      <c r="K3" s="127">
        <v>55</v>
      </c>
    </row>
    <row r="4" spans="1:11" x14ac:dyDescent="0.25">
      <c r="A4" s="37" t="s">
        <v>259</v>
      </c>
      <c r="B4" s="127">
        <v>1470</v>
      </c>
      <c r="C4" s="127">
        <v>132</v>
      </c>
      <c r="D4" s="127">
        <v>1602</v>
      </c>
      <c r="E4" s="127">
        <v>827</v>
      </c>
      <c r="F4" s="127">
        <v>157</v>
      </c>
      <c r="G4" s="127">
        <v>15</v>
      </c>
      <c r="H4" s="127">
        <v>999</v>
      </c>
      <c r="I4" s="127">
        <v>18</v>
      </c>
      <c r="J4" s="127">
        <v>148</v>
      </c>
      <c r="K4" s="127">
        <v>39</v>
      </c>
    </row>
    <row r="5" spans="1:11" x14ac:dyDescent="0.25">
      <c r="A5" s="129" t="s">
        <v>88</v>
      </c>
      <c r="B5" s="130">
        <v>5404</v>
      </c>
      <c r="C5" s="130">
        <v>812</v>
      </c>
      <c r="D5" s="130">
        <v>6216</v>
      </c>
      <c r="E5" s="130">
        <v>3945</v>
      </c>
      <c r="F5" s="130">
        <v>918</v>
      </c>
      <c r="G5" s="130">
        <v>76</v>
      </c>
      <c r="H5" s="130">
        <v>4939</v>
      </c>
      <c r="I5" s="130">
        <v>397</v>
      </c>
      <c r="J5" s="130">
        <v>495</v>
      </c>
      <c r="K5" s="130">
        <v>94</v>
      </c>
    </row>
  </sheetData>
  <pageMargins left="0.7" right="0.7" top="0.75" bottom="0.75" header="0.3" footer="0.3"/>
  <pageSetup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19"/>
  <sheetViews>
    <sheetView workbookViewId="0">
      <selection activeCell="K21" sqref="K21"/>
    </sheetView>
  </sheetViews>
  <sheetFormatPr defaultRowHeight="15.75" x14ac:dyDescent="0.25"/>
  <cols>
    <col min="1" max="1" width="11.5703125" style="9" customWidth="1"/>
    <col min="2" max="6" width="14.140625" style="9" customWidth="1"/>
    <col min="7" max="9" width="11.7109375" style="9" customWidth="1"/>
    <col min="10" max="10" width="9.140625" style="9"/>
    <col min="11" max="11" width="10" style="9" customWidth="1"/>
    <col min="12" max="16384" width="9.140625" style="9"/>
  </cols>
  <sheetData>
    <row r="3" spans="1:13" x14ac:dyDescent="0.25">
      <c r="A3" s="55"/>
    </row>
    <row r="4" spans="1:13" ht="33" customHeight="1" thickBot="1" x14ac:dyDescent="0.3">
      <c r="A4" s="151" t="s">
        <v>94</v>
      </c>
      <c r="B4" s="151"/>
      <c r="C4" s="151"/>
      <c r="D4" s="151"/>
      <c r="E4" s="151"/>
      <c r="F4" s="151"/>
      <c r="G4" s="151"/>
      <c r="H4" s="151"/>
      <c r="I4" s="151"/>
      <c r="J4" s="151"/>
      <c r="K4" s="151"/>
      <c r="L4" s="48"/>
      <c r="M4" s="48"/>
    </row>
    <row r="5" spans="1:13" ht="79.5" thickBot="1" x14ac:dyDescent="0.3">
      <c r="A5" s="56" t="s">
        <v>50</v>
      </c>
      <c r="B5" s="56" t="s">
        <v>61</v>
      </c>
      <c r="C5" s="56" t="s">
        <v>62</v>
      </c>
      <c r="D5" s="56" t="s">
        <v>63</v>
      </c>
      <c r="E5" s="56" t="s">
        <v>64</v>
      </c>
      <c r="F5" s="56" t="s">
        <v>65</v>
      </c>
      <c r="G5" s="56" t="s">
        <v>66</v>
      </c>
      <c r="H5" s="56" t="s">
        <v>67</v>
      </c>
      <c r="I5" s="56" t="s">
        <v>68</v>
      </c>
      <c r="J5" s="56" t="s">
        <v>69</v>
      </c>
      <c r="K5" s="56" t="s">
        <v>51</v>
      </c>
    </row>
    <row r="6" spans="1:13" x14ac:dyDescent="0.25">
      <c r="A6" s="57" t="s">
        <v>70</v>
      </c>
      <c r="B6" s="60">
        <v>0</v>
      </c>
      <c r="C6" s="60">
        <v>0</v>
      </c>
      <c r="D6" s="60">
        <v>0</v>
      </c>
      <c r="E6" s="60">
        <v>0</v>
      </c>
      <c r="F6" s="60">
        <v>0</v>
      </c>
      <c r="G6" s="60">
        <f>D6-F6</f>
        <v>0</v>
      </c>
      <c r="H6" s="60">
        <v>0</v>
      </c>
      <c r="I6" s="60">
        <v>0</v>
      </c>
      <c r="J6" s="60">
        <v>0</v>
      </c>
      <c r="K6" s="60">
        <v>0</v>
      </c>
    </row>
    <row r="7" spans="1:13" x14ac:dyDescent="0.25">
      <c r="A7" s="57" t="s">
        <v>52</v>
      </c>
      <c r="B7" s="60">
        <v>0</v>
      </c>
      <c r="C7" s="60">
        <v>0</v>
      </c>
      <c r="D7" s="60">
        <v>0</v>
      </c>
      <c r="E7" s="60">
        <v>0</v>
      </c>
      <c r="F7" s="60">
        <v>0</v>
      </c>
      <c r="G7" s="60">
        <f t="shared" ref="G7:G15" si="0">D7-F7</f>
        <v>0</v>
      </c>
      <c r="H7" s="60">
        <v>0</v>
      </c>
      <c r="I7" s="60">
        <v>0</v>
      </c>
      <c r="J7" s="60">
        <v>0</v>
      </c>
      <c r="K7" s="60">
        <v>0</v>
      </c>
    </row>
    <row r="8" spans="1:13" x14ac:dyDescent="0.25">
      <c r="A8" s="57" t="s">
        <v>53</v>
      </c>
      <c r="B8" s="60">
        <v>0</v>
      </c>
      <c r="C8" s="60">
        <v>0</v>
      </c>
      <c r="D8" s="60">
        <v>0</v>
      </c>
      <c r="E8" s="60">
        <v>0</v>
      </c>
      <c r="F8" s="60">
        <v>0</v>
      </c>
      <c r="G8" s="60">
        <f t="shared" si="0"/>
        <v>0</v>
      </c>
      <c r="H8" s="60">
        <v>0</v>
      </c>
      <c r="I8" s="60">
        <v>0</v>
      </c>
      <c r="J8" s="60">
        <v>0</v>
      </c>
      <c r="K8" s="60">
        <v>0</v>
      </c>
    </row>
    <row r="9" spans="1:13" x14ac:dyDescent="0.25">
      <c r="A9" s="57" t="s">
        <v>54</v>
      </c>
      <c r="B9" s="60">
        <v>7</v>
      </c>
      <c r="C9" s="60">
        <v>0</v>
      </c>
      <c r="D9" s="60">
        <v>0</v>
      </c>
      <c r="E9" s="60">
        <v>0</v>
      </c>
      <c r="F9" s="60">
        <v>0</v>
      </c>
      <c r="G9" s="60">
        <f t="shared" si="0"/>
        <v>0</v>
      </c>
      <c r="H9" s="60">
        <v>0</v>
      </c>
      <c r="I9" s="60">
        <v>14</v>
      </c>
      <c r="J9" s="60">
        <v>4</v>
      </c>
      <c r="K9" s="60">
        <v>0</v>
      </c>
    </row>
    <row r="10" spans="1:13" x14ac:dyDescent="0.25">
      <c r="A10" s="57" t="s">
        <v>55</v>
      </c>
      <c r="B10" s="60">
        <v>494</v>
      </c>
      <c r="C10" s="60">
        <v>0</v>
      </c>
      <c r="D10" s="60">
        <v>166</v>
      </c>
      <c r="E10" s="60">
        <v>0</v>
      </c>
      <c r="F10" s="60">
        <v>0</v>
      </c>
      <c r="G10" s="60">
        <f t="shared" si="0"/>
        <v>166</v>
      </c>
      <c r="H10" s="60">
        <v>1</v>
      </c>
      <c r="I10" s="60">
        <v>162</v>
      </c>
      <c r="J10" s="60">
        <v>3</v>
      </c>
      <c r="K10" s="60">
        <v>1</v>
      </c>
    </row>
    <row r="11" spans="1:13" x14ac:dyDescent="0.25">
      <c r="A11" s="57" t="s">
        <v>56</v>
      </c>
      <c r="B11" s="60">
        <v>693</v>
      </c>
      <c r="C11" s="60">
        <v>2</v>
      </c>
      <c r="D11" s="60">
        <v>418</v>
      </c>
      <c r="E11" s="60">
        <v>1</v>
      </c>
      <c r="F11" s="60">
        <v>0</v>
      </c>
      <c r="G11" s="60">
        <f t="shared" si="0"/>
        <v>418</v>
      </c>
      <c r="H11" s="60">
        <v>17</v>
      </c>
      <c r="I11" s="60">
        <v>525</v>
      </c>
      <c r="J11" s="60">
        <v>4</v>
      </c>
      <c r="K11" s="60">
        <v>24</v>
      </c>
    </row>
    <row r="12" spans="1:13" x14ac:dyDescent="0.25">
      <c r="A12" s="57" t="s">
        <v>57</v>
      </c>
      <c r="B12" s="60">
        <v>350</v>
      </c>
      <c r="C12" s="60">
        <v>0</v>
      </c>
      <c r="D12" s="60">
        <v>169</v>
      </c>
      <c r="E12" s="60">
        <v>5</v>
      </c>
      <c r="F12" s="60">
        <v>7</v>
      </c>
      <c r="G12" s="60">
        <f t="shared" si="0"/>
        <v>162</v>
      </c>
      <c r="H12" s="60">
        <v>4</v>
      </c>
      <c r="I12" s="60">
        <v>486</v>
      </c>
      <c r="J12" s="60">
        <v>0</v>
      </c>
      <c r="K12" s="60">
        <v>6</v>
      </c>
    </row>
    <row r="13" spans="1:13" x14ac:dyDescent="0.25">
      <c r="A13" s="57" t="s">
        <v>71</v>
      </c>
      <c r="B13" s="60">
        <v>84</v>
      </c>
      <c r="C13" s="60">
        <v>1</v>
      </c>
      <c r="D13" s="60">
        <v>103</v>
      </c>
      <c r="E13" s="60">
        <v>1</v>
      </c>
      <c r="F13" s="60">
        <v>18</v>
      </c>
      <c r="G13" s="60">
        <f t="shared" si="0"/>
        <v>85</v>
      </c>
      <c r="H13" s="60">
        <v>2</v>
      </c>
      <c r="I13" s="60">
        <v>90</v>
      </c>
      <c r="J13" s="60">
        <v>0</v>
      </c>
      <c r="K13" s="60">
        <v>6</v>
      </c>
    </row>
    <row r="14" spans="1:13" x14ac:dyDescent="0.25">
      <c r="A14" s="57" t="s">
        <v>58</v>
      </c>
      <c r="B14" s="60">
        <v>64</v>
      </c>
      <c r="C14" s="60">
        <v>1</v>
      </c>
      <c r="D14" s="60">
        <v>458</v>
      </c>
      <c r="E14" s="60">
        <v>4</v>
      </c>
      <c r="F14" s="60">
        <v>224</v>
      </c>
      <c r="G14" s="60">
        <f t="shared" si="0"/>
        <v>234</v>
      </c>
      <c r="H14" s="60">
        <v>0</v>
      </c>
      <c r="I14" s="60">
        <v>35</v>
      </c>
      <c r="J14" s="60">
        <v>1</v>
      </c>
      <c r="K14" s="60">
        <v>0</v>
      </c>
    </row>
    <row r="15" spans="1:13" x14ac:dyDescent="0.25">
      <c r="A15" s="57" t="s">
        <v>59</v>
      </c>
      <c r="B15" s="60">
        <v>0</v>
      </c>
      <c r="C15" s="60">
        <v>0</v>
      </c>
      <c r="D15" s="60">
        <v>0</v>
      </c>
      <c r="E15" s="60">
        <v>0</v>
      </c>
      <c r="F15" s="60">
        <v>0</v>
      </c>
      <c r="G15" s="60">
        <f t="shared" si="0"/>
        <v>0</v>
      </c>
      <c r="H15" s="60">
        <v>0</v>
      </c>
      <c r="I15" s="60">
        <v>0</v>
      </c>
      <c r="J15" s="60">
        <v>0</v>
      </c>
      <c r="K15" s="60">
        <v>0</v>
      </c>
    </row>
    <row r="16" spans="1:13" x14ac:dyDescent="0.25">
      <c r="A16" s="57" t="s">
        <v>60</v>
      </c>
      <c r="B16" s="60"/>
      <c r="C16" s="60"/>
      <c r="D16" s="60"/>
      <c r="E16" s="60"/>
      <c r="F16" s="60"/>
      <c r="G16" s="60"/>
      <c r="H16" s="60"/>
      <c r="I16" s="60"/>
      <c r="J16" s="60"/>
      <c r="K16" s="60"/>
    </row>
    <row r="17" spans="1:11" ht="16.5" thickBot="1" x14ac:dyDescent="0.3">
      <c r="A17" s="58" t="s">
        <v>72</v>
      </c>
      <c r="B17" s="59"/>
      <c r="C17" s="59"/>
      <c r="D17" s="59"/>
      <c r="E17" s="59"/>
      <c r="F17" s="59"/>
      <c r="G17" s="59"/>
      <c r="H17" s="59"/>
      <c r="I17" s="59"/>
      <c r="J17" s="59"/>
      <c r="K17" s="59"/>
    </row>
    <row r="18" spans="1:11" ht="16.5" thickBot="1" x14ac:dyDescent="0.3">
      <c r="A18" s="58" t="s">
        <v>78</v>
      </c>
      <c r="B18" s="59">
        <f t="shared" ref="B18:K18" si="1">SUM(B6:B17)</f>
        <v>1692</v>
      </c>
      <c r="C18" s="59">
        <f t="shared" si="1"/>
        <v>4</v>
      </c>
      <c r="D18" s="59">
        <f t="shared" si="1"/>
        <v>1314</v>
      </c>
      <c r="E18" s="59">
        <f t="shared" si="1"/>
        <v>11</v>
      </c>
      <c r="F18" s="59">
        <f t="shared" si="1"/>
        <v>249</v>
      </c>
      <c r="G18" s="59">
        <f t="shared" si="1"/>
        <v>1065</v>
      </c>
      <c r="H18" s="59">
        <f t="shared" si="1"/>
        <v>24</v>
      </c>
      <c r="I18" s="59">
        <f t="shared" si="1"/>
        <v>1312</v>
      </c>
      <c r="J18" s="59">
        <f t="shared" si="1"/>
        <v>12</v>
      </c>
      <c r="K18" s="59">
        <f t="shared" si="1"/>
        <v>37</v>
      </c>
    </row>
    <row r="19" spans="1:11" x14ac:dyDescent="0.25">
      <c r="B19" s="25"/>
    </row>
  </sheetData>
  <mergeCells count="1">
    <mergeCell ref="A4:K4"/>
  </mergeCells>
  <pageMargins left="0.7" right="0.7" top="0.75" bottom="0.75" header="0.3" footer="0.3"/>
  <pageSetup scale="9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7"/>
  <sheetViews>
    <sheetView workbookViewId="0">
      <selection activeCell="E10" sqref="E10"/>
    </sheetView>
  </sheetViews>
  <sheetFormatPr defaultColWidth="8.85546875" defaultRowHeight="15" x14ac:dyDescent="0.25"/>
  <cols>
    <col min="1" max="1" width="12.7109375" style="1" bestFit="1" customWidth="1"/>
    <col min="2" max="2" width="5" style="1" customWidth="1"/>
    <col min="3" max="3" width="30.28515625" style="1" customWidth="1"/>
    <col min="4" max="4" width="40.5703125" style="49" customWidth="1"/>
    <col min="5" max="5" width="46.5703125" style="49" customWidth="1"/>
    <col min="6" max="16384" width="8.85546875" style="1"/>
  </cols>
  <sheetData>
    <row r="1" spans="1:5" ht="18.75" x14ac:dyDescent="0.25">
      <c r="A1" s="152" t="s">
        <v>265</v>
      </c>
      <c r="B1" s="153"/>
      <c r="C1" s="153"/>
      <c r="D1" s="153"/>
      <c r="E1" s="154"/>
    </row>
    <row r="2" spans="1:5" ht="18.75" x14ac:dyDescent="0.25">
      <c r="A2" s="155" t="s">
        <v>266</v>
      </c>
      <c r="B2" s="156" t="s">
        <v>267</v>
      </c>
      <c r="C2" s="156"/>
      <c r="D2" s="157" t="s">
        <v>268</v>
      </c>
      <c r="E2" s="158" t="s">
        <v>269</v>
      </c>
    </row>
    <row r="3" spans="1:5" x14ac:dyDescent="0.25">
      <c r="A3" s="159" t="s">
        <v>265</v>
      </c>
      <c r="B3" s="160" t="s">
        <v>270</v>
      </c>
      <c r="C3" s="161"/>
      <c r="D3" s="162" t="s">
        <v>271</v>
      </c>
      <c r="E3" s="163" t="s">
        <v>272</v>
      </c>
    </row>
    <row r="4" spans="1:5" x14ac:dyDescent="0.25">
      <c r="A4" s="164"/>
      <c r="B4" s="160" t="s">
        <v>273</v>
      </c>
      <c r="C4" s="161"/>
      <c r="D4" s="165" t="s">
        <v>274</v>
      </c>
      <c r="E4" s="166">
        <v>42703</v>
      </c>
    </row>
    <row r="5" spans="1:5" ht="29.45" customHeight="1" x14ac:dyDescent="0.25">
      <c r="A5" s="159" t="s">
        <v>275</v>
      </c>
      <c r="B5" s="160" t="s">
        <v>276</v>
      </c>
      <c r="C5" s="161"/>
      <c r="D5" s="165" t="s">
        <v>277</v>
      </c>
      <c r="E5" s="167" t="s">
        <v>347</v>
      </c>
    </row>
    <row r="6" spans="1:5" ht="64.5" x14ac:dyDescent="0.25">
      <c r="A6" s="164"/>
      <c r="B6" s="168"/>
      <c r="C6" s="169" t="s">
        <v>278</v>
      </c>
      <c r="D6" s="165" t="s">
        <v>279</v>
      </c>
      <c r="E6" s="167" t="s">
        <v>280</v>
      </c>
    </row>
    <row r="7" spans="1:5" ht="26.25" x14ac:dyDescent="0.25">
      <c r="A7" s="170" t="s">
        <v>281</v>
      </c>
      <c r="B7" s="171" t="s">
        <v>282</v>
      </c>
      <c r="C7" s="171"/>
      <c r="D7" s="162" t="s">
        <v>283</v>
      </c>
      <c r="E7" s="167" t="s">
        <v>352</v>
      </c>
    </row>
    <row r="8" spans="1:5" ht="29.45" customHeight="1" x14ac:dyDescent="0.25">
      <c r="A8" s="172" t="s">
        <v>284</v>
      </c>
      <c r="B8" s="171" t="s">
        <v>285</v>
      </c>
      <c r="C8" s="171"/>
      <c r="D8" s="162" t="s">
        <v>286</v>
      </c>
      <c r="E8" s="167" t="s">
        <v>353</v>
      </c>
    </row>
    <row r="9" spans="1:5" ht="39" x14ac:dyDescent="0.25">
      <c r="A9" s="172"/>
      <c r="B9" s="171" t="s">
        <v>287</v>
      </c>
      <c r="C9" s="171"/>
      <c r="D9" s="162" t="s">
        <v>288</v>
      </c>
      <c r="E9" s="167" t="s">
        <v>354</v>
      </c>
    </row>
    <row r="10" spans="1:5" ht="43.15" customHeight="1" x14ac:dyDescent="0.25">
      <c r="A10" s="172"/>
      <c r="B10" s="171" t="s">
        <v>289</v>
      </c>
      <c r="C10" s="171"/>
      <c r="D10" s="162" t="s">
        <v>290</v>
      </c>
      <c r="E10" s="167" t="s">
        <v>291</v>
      </c>
    </row>
    <row r="11" spans="1:5" ht="87.6" customHeight="1" x14ac:dyDescent="0.25">
      <c r="A11" s="159" t="s">
        <v>292</v>
      </c>
      <c r="B11" s="171" t="s">
        <v>293</v>
      </c>
      <c r="C11" s="171"/>
      <c r="D11" s="162" t="s">
        <v>294</v>
      </c>
      <c r="E11" s="173" t="s">
        <v>351</v>
      </c>
    </row>
    <row r="12" spans="1:5" x14ac:dyDescent="0.25">
      <c r="A12" s="174"/>
      <c r="B12" s="175" t="s">
        <v>295</v>
      </c>
      <c r="C12" s="175"/>
      <c r="D12" s="165" t="s">
        <v>296</v>
      </c>
      <c r="E12" s="167" t="s">
        <v>348</v>
      </c>
    </row>
    <row r="13" spans="1:5" ht="90" x14ac:dyDescent="0.25">
      <c r="A13" s="174"/>
      <c r="B13" s="175" t="s">
        <v>297</v>
      </c>
      <c r="C13" s="175"/>
      <c r="D13" s="165" t="s">
        <v>298</v>
      </c>
      <c r="E13" s="167" t="s">
        <v>299</v>
      </c>
    </row>
    <row r="14" spans="1:5" ht="46.9" customHeight="1" x14ac:dyDescent="0.25">
      <c r="A14" s="174"/>
      <c r="B14" s="176" t="s">
        <v>300</v>
      </c>
      <c r="C14" s="177"/>
      <c r="D14" s="178"/>
      <c r="E14" s="179"/>
    </row>
    <row r="15" spans="1:5" ht="57.6" customHeight="1" x14ac:dyDescent="0.25">
      <c r="A15" s="174"/>
      <c r="B15" s="180"/>
      <c r="C15" s="181" t="s">
        <v>301</v>
      </c>
      <c r="D15" s="182" t="s">
        <v>302</v>
      </c>
      <c r="E15" s="167"/>
    </row>
    <row r="16" spans="1:5" ht="29.45" customHeight="1" x14ac:dyDescent="0.25">
      <c r="A16" s="174"/>
      <c r="B16" s="183"/>
      <c r="C16" s="184" t="s">
        <v>303</v>
      </c>
      <c r="D16" s="162" t="s">
        <v>304</v>
      </c>
      <c r="E16" s="167"/>
    </row>
    <row r="17" spans="1:5" ht="28.15" customHeight="1" x14ac:dyDescent="0.25">
      <c r="A17" s="174"/>
      <c r="B17" s="183"/>
      <c r="C17" s="184" t="s">
        <v>305</v>
      </c>
      <c r="D17" s="162" t="s">
        <v>304</v>
      </c>
      <c r="E17" s="167"/>
    </row>
    <row r="18" spans="1:5" ht="26.25" x14ac:dyDescent="0.25">
      <c r="A18" s="174"/>
      <c r="B18" s="183"/>
      <c r="C18" s="185" t="s">
        <v>306</v>
      </c>
      <c r="D18" s="186" t="s">
        <v>307</v>
      </c>
      <c r="E18" s="178"/>
    </row>
    <row r="19" spans="1:5" ht="28.9" customHeight="1" x14ac:dyDescent="0.25">
      <c r="A19" s="174"/>
      <c r="B19" s="183"/>
      <c r="C19" s="184" t="s">
        <v>308</v>
      </c>
      <c r="D19" s="165" t="s">
        <v>309</v>
      </c>
      <c r="E19" s="167"/>
    </row>
    <row r="20" spans="1:5" ht="26.25" x14ac:dyDescent="0.25">
      <c r="A20" s="174"/>
      <c r="B20" s="183"/>
      <c r="C20" s="184" t="s">
        <v>310</v>
      </c>
      <c r="D20" s="165" t="s">
        <v>311</v>
      </c>
      <c r="E20" s="167"/>
    </row>
    <row r="21" spans="1:5" ht="26.25" x14ac:dyDescent="0.25">
      <c r="A21" s="164"/>
      <c r="B21" s="187"/>
      <c r="C21" s="184" t="s">
        <v>312</v>
      </c>
      <c r="D21" s="165" t="s">
        <v>313</v>
      </c>
      <c r="E21" s="167"/>
    </row>
    <row r="22" spans="1:5" ht="45.6" customHeight="1" x14ac:dyDescent="0.25">
      <c r="A22" s="172" t="s">
        <v>314</v>
      </c>
      <c r="B22" s="175" t="s">
        <v>315</v>
      </c>
      <c r="C22" s="175"/>
      <c r="D22" s="165" t="s">
        <v>316</v>
      </c>
      <c r="E22" s="167"/>
    </row>
    <row r="23" spans="1:5" ht="90" x14ac:dyDescent="0.25">
      <c r="A23" s="172"/>
      <c r="B23" s="188"/>
      <c r="C23" s="184" t="s">
        <v>317</v>
      </c>
      <c r="D23" s="165" t="s">
        <v>318</v>
      </c>
      <c r="E23" s="167" t="s">
        <v>349</v>
      </c>
    </row>
    <row r="24" spans="1:5" ht="26.25" x14ac:dyDescent="0.25">
      <c r="A24" s="172"/>
      <c r="B24" s="189" t="s">
        <v>319</v>
      </c>
      <c r="C24" s="189"/>
      <c r="D24" s="165" t="s">
        <v>320</v>
      </c>
      <c r="E24" s="167" t="s">
        <v>321</v>
      </c>
    </row>
    <row r="25" spans="1:5" ht="29.45" customHeight="1" x14ac:dyDescent="0.25">
      <c r="A25" s="172"/>
      <c r="B25" s="188"/>
      <c r="C25" s="190" t="s">
        <v>322</v>
      </c>
      <c r="D25" s="165" t="s">
        <v>323</v>
      </c>
      <c r="E25" s="191">
        <v>42703</v>
      </c>
    </row>
    <row r="26" spans="1:5" x14ac:dyDescent="0.25">
      <c r="A26" s="192" t="s">
        <v>324</v>
      </c>
      <c r="B26" s="189" t="s">
        <v>325</v>
      </c>
      <c r="C26" s="189"/>
      <c r="D26" s="165" t="s">
        <v>326</v>
      </c>
      <c r="E26" s="167"/>
    </row>
    <row r="27" spans="1:5" ht="85.9" customHeight="1" x14ac:dyDescent="0.25">
      <c r="A27" s="192"/>
      <c r="B27" s="189" t="s">
        <v>327</v>
      </c>
      <c r="C27" s="189"/>
      <c r="D27" s="165" t="s">
        <v>328</v>
      </c>
      <c r="E27" s="167" t="s">
        <v>329</v>
      </c>
    </row>
    <row r="28" spans="1:5" ht="102.75" x14ac:dyDescent="0.25">
      <c r="A28" s="192"/>
      <c r="B28" s="189" t="s">
        <v>330</v>
      </c>
      <c r="C28" s="189"/>
      <c r="D28" s="165" t="s">
        <v>331</v>
      </c>
      <c r="E28" s="167" t="s">
        <v>350</v>
      </c>
    </row>
    <row r="29" spans="1:5" ht="240" x14ac:dyDescent="0.25">
      <c r="A29" s="192"/>
      <c r="B29" s="193" t="s">
        <v>332</v>
      </c>
      <c r="C29" s="194"/>
      <c r="D29" s="195" t="s">
        <v>333</v>
      </c>
      <c r="E29" s="196" t="s">
        <v>334</v>
      </c>
    </row>
    <row r="30" spans="1:5" ht="18.75" x14ac:dyDescent="0.25">
      <c r="A30" s="197"/>
      <c r="B30" s="198"/>
      <c r="C30" s="199"/>
    </row>
    <row r="31" spans="1:5" ht="18.75" x14ac:dyDescent="0.25">
      <c r="A31" s="197"/>
      <c r="B31" s="198"/>
      <c r="C31" s="199"/>
    </row>
    <row r="32" spans="1:5" ht="18.75" x14ac:dyDescent="0.25">
      <c r="A32" s="197"/>
      <c r="B32" s="198"/>
      <c r="C32" s="199"/>
    </row>
    <row r="33" spans="1:3" ht="18.75" x14ac:dyDescent="0.25">
      <c r="A33" s="197"/>
      <c r="B33" s="198"/>
      <c r="C33" s="199"/>
    </row>
    <row r="34" spans="1:3" ht="15" customHeight="1" x14ac:dyDescent="0.25">
      <c r="A34" s="1" t="s">
        <v>335</v>
      </c>
      <c r="B34" s="198"/>
      <c r="C34" s="199"/>
    </row>
    <row r="36" spans="1:3" x14ac:dyDescent="0.25">
      <c r="A36" s="1" t="s">
        <v>336</v>
      </c>
    </row>
    <row r="37" spans="1:3" x14ac:dyDescent="0.25">
      <c r="A37" s="1" t="s">
        <v>337</v>
      </c>
    </row>
    <row r="38" spans="1:3" x14ac:dyDescent="0.25">
      <c r="A38" s="1" t="s">
        <v>338</v>
      </c>
    </row>
    <row r="39" spans="1:3" x14ac:dyDescent="0.25">
      <c r="A39" s="200" t="s">
        <v>339</v>
      </c>
    </row>
    <row r="40" spans="1:3" x14ac:dyDescent="0.25">
      <c r="A40" s="200" t="s">
        <v>340</v>
      </c>
    </row>
    <row r="41" spans="1:3" x14ac:dyDescent="0.25">
      <c r="A41" s="200" t="s">
        <v>341</v>
      </c>
    </row>
    <row r="43" spans="1:3" x14ac:dyDescent="0.25">
      <c r="A43" s="200" t="s">
        <v>342</v>
      </c>
    </row>
    <row r="44" spans="1:3" x14ac:dyDescent="0.25">
      <c r="A44" s="200" t="s">
        <v>343</v>
      </c>
    </row>
    <row r="45" spans="1:3" x14ac:dyDescent="0.25">
      <c r="A45" s="200" t="s">
        <v>344</v>
      </c>
    </row>
    <row r="46" spans="1:3" x14ac:dyDescent="0.25">
      <c r="A46" s="200" t="s">
        <v>345</v>
      </c>
    </row>
    <row r="47" spans="1:3" x14ac:dyDescent="0.25">
      <c r="A47" s="200" t="s">
        <v>346</v>
      </c>
    </row>
  </sheetData>
  <sheetProtection sheet="1" objects="1" scenarios="1" formatCells="0" formatColumns="0" formatRows="0" insertHyperlinks="0"/>
  <protectedRanges>
    <protectedRange sqref="E3:E29" name="Range1"/>
  </protectedRanges>
  <mergeCells count="26">
    <mergeCell ref="B15:B21"/>
    <mergeCell ref="A22:A25"/>
    <mergeCell ref="B22:C22"/>
    <mergeCell ref="B24:C24"/>
    <mergeCell ref="A26:A29"/>
    <mergeCell ref="B26:C26"/>
    <mergeCell ref="B27:C27"/>
    <mergeCell ref="B28:C28"/>
    <mergeCell ref="B29:C29"/>
    <mergeCell ref="B7:C7"/>
    <mergeCell ref="A8:A10"/>
    <mergeCell ref="B8:C8"/>
    <mergeCell ref="B9:C9"/>
    <mergeCell ref="B10:C10"/>
    <mergeCell ref="A11:A21"/>
    <mergeCell ref="B11:C11"/>
    <mergeCell ref="B12:C12"/>
    <mergeCell ref="B13:C13"/>
    <mergeCell ref="B14:C14"/>
    <mergeCell ref="A1:E1"/>
    <mergeCell ref="B2:C2"/>
    <mergeCell ref="A3:A4"/>
    <mergeCell ref="B3:C3"/>
    <mergeCell ref="B4:C4"/>
    <mergeCell ref="A5:A6"/>
    <mergeCell ref="B5:C5"/>
  </mergeCells>
  <dataValidations disablePrompts="1" count="3">
    <dataValidation showInputMessage="1" sqref="D16:D17"/>
    <dataValidation type="list" allowBlank="1" showInputMessage="1" sqref="E16">
      <formula1>Reference</formula1>
    </dataValidation>
    <dataValidation type="list" allowBlank="1" showInputMessage="1" sqref="E17">
      <formula1>Format</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2016 Redd &amp; Spawner Abundance</vt:lpstr>
      <vt:lpstr>pHOS</vt:lpstr>
      <vt:lpstr>2016 PSM</vt:lpstr>
      <vt:lpstr>2015 Outplants</vt:lpstr>
      <vt:lpstr>2016 Bennett Video</vt:lpstr>
      <vt:lpstr>2016 Leaburg Video</vt:lpstr>
      <vt:lpstr>Metadata</vt:lpstr>
      <vt:lpstr>Format</vt:lpstr>
      <vt:lpstr>Reference</vt:lpstr>
    </vt:vector>
  </TitlesOfParts>
  <Company>College of Forestry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Sharpe, Cameron</dc:creator>
  <cp:lastModifiedBy>Cameron S. Sharpe</cp:lastModifiedBy>
  <cp:lastPrinted>2016-10-20T17:27:13Z</cp:lastPrinted>
  <dcterms:created xsi:type="dcterms:W3CDTF">2013-05-31T16:15:25Z</dcterms:created>
  <dcterms:modified xsi:type="dcterms:W3CDTF">2016-11-29T20:58:07Z</dcterms:modified>
</cp:coreProperties>
</file>